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rç.Consolidado" sheetId="1" r:id="rId1"/>
    <sheet name="Matriz Lógica" sheetId="2" r:id="rId2"/>
    <sheet name="Plano de Trabalho" sheetId="3" r:id="rId3"/>
  </sheets>
  <definedNames>
    <definedName name="_xlnm.Print_Area" localSheetId="2">'Plano de Trabalho'!$A$1:$S$149</definedName>
    <definedName name="Z_FDD729D6_B2A0_4027_83DD_E6EA3CE01C44_.wvu.Cols" localSheetId="2" hidden="1">'Plano de Trabalho'!$N:$R</definedName>
    <definedName name="Z_FDD729D6_B2A0_4027_83DD_E6EA3CE01C44_.wvu.PrintArea" localSheetId="2" hidden="1">'Plano de Trabalho'!$A$1:$S$149</definedName>
    <definedName name="Z_FDD729D6_B2A0_4027_83DD_E6EA3CE01C44_.wvu.Rows" localSheetId="1" hidden="1">'Matriz Lógica'!#REF!</definedName>
  </definedNames>
  <calcPr fullCalcOnLoad="1"/>
</workbook>
</file>

<file path=xl/sharedStrings.xml><?xml version="1.0" encoding="utf-8"?>
<sst xmlns="http://schemas.openxmlformats.org/spreadsheetml/2006/main" count="771" uniqueCount="172">
  <si>
    <t>Multi-Year Funding Framework(MYFF) Goal:  2 - Fostering democratic governance</t>
  </si>
  <si>
    <r>
      <t xml:space="preserve">MYFF Service Line: </t>
    </r>
    <r>
      <rPr>
        <sz val="11"/>
        <rFont val="Arial"/>
        <family val="2"/>
      </rPr>
      <t xml:space="preserve"> Public administration reform and anti-corruption</t>
    </r>
  </si>
  <si>
    <t>Core Result: Public administration reform for efficient, effective, responsive and pro-poor public services promoted</t>
  </si>
  <si>
    <t>Country Programme Outcome: Improved equity and efficiency in the delivery of public services</t>
  </si>
  <si>
    <t>(Project Results and Resources Framework - PRRF)</t>
  </si>
  <si>
    <r>
      <t xml:space="preserve">Resultados do Projeto
</t>
    </r>
    <r>
      <rPr>
        <sz val="10"/>
        <rFont val="Arial"/>
        <family val="2"/>
      </rPr>
      <t xml:space="preserve">(outcome statement)  </t>
    </r>
    <r>
      <rPr>
        <b/>
        <sz val="10"/>
        <rFont val="Arial"/>
        <family val="2"/>
      </rPr>
      <t>COMPONENTES</t>
    </r>
  </si>
  <si>
    <r>
      <t xml:space="preserve">Descrição dos Produtos
</t>
    </r>
    <r>
      <rPr>
        <sz val="10"/>
        <rFont val="Arial"/>
        <family val="2"/>
      </rPr>
      <t xml:space="preserve">(output statement)                                 </t>
    </r>
    <r>
      <rPr>
        <b/>
        <sz val="10"/>
        <rFont val="Arial"/>
        <family val="2"/>
      </rPr>
      <t>SUB-COMPONENTES</t>
    </r>
  </si>
  <si>
    <r>
      <t xml:space="preserve">Metas  Anuais 
</t>
    </r>
    <r>
      <rPr>
        <sz val="10"/>
        <rFont val="Arial"/>
        <family val="2"/>
      </rPr>
      <t xml:space="preserve">(output targets)                                                                                                                                 </t>
    </r>
    <r>
      <rPr>
        <b/>
        <sz val="10"/>
        <rFont val="Arial"/>
        <family val="2"/>
      </rPr>
      <t>ATIVIDADES</t>
    </r>
  </si>
  <si>
    <t>Descrição dos Insumos</t>
  </si>
  <si>
    <t>Valor (US$) - (Recursos alocados para o produto,          por ano)</t>
  </si>
  <si>
    <t>Consultorias pessoa física</t>
  </si>
  <si>
    <t>Subtotal - Produto 1.1 (meta ano 2006)</t>
  </si>
  <si>
    <t>Produto 1.2. Capacitação dos técnicos da Unidade PPP do Ministério do Planejamento, dos ministérios setoriais, dos Estados</t>
  </si>
  <si>
    <t>Subtotal - Porduto 1.2 (meta ano 2006)</t>
  </si>
  <si>
    <t>Subtotal - Porduto 1.2 (meta ano 2007)</t>
  </si>
  <si>
    <t>Subtotal - Produto 1.2 (meta ano 2008)</t>
  </si>
  <si>
    <t>Subtotal - Produto 1.3 (meta ano 2007)</t>
  </si>
  <si>
    <t>Subtotal - Produto 1.3 (meta ano 2008)</t>
  </si>
  <si>
    <t xml:space="preserve">Total do Resultado 1 </t>
  </si>
  <si>
    <t>Metas Anuais (output targets)</t>
  </si>
  <si>
    <t>Valor (US$) - (Recursos alocados para o produto, por ano)</t>
  </si>
  <si>
    <t>Consultoria pessoa jurídica</t>
  </si>
  <si>
    <t>Estudos, pareceres e minutas de regulamentação produzidas</t>
  </si>
  <si>
    <t>Serviços</t>
  </si>
  <si>
    <t>Subtotal - Produto 2.1 (meta ano 2006)</t>
  </si>
  <si>
    <t>Modelo de relatório e sistema de acompanhamento de contratos PPP produzidos</t>
  </si>
  <si>
    <t>Subtotal - Produto 2.1 (meta ano 2007)</t>
  </si>
  <si>
    <t>Subtotal - Produto 2.1 (meta ano 2008)</t>
  </si>
  <si>
    <t>Total do Resultado 2</t>
  </si>
  <si>
    <r>
      <t xml:space="preserve">Resultados do Projeto
</t>
    </r>
    <r>
      <rPr>
        <sz val="10"/>
        <rFont val="Arial"/>
        <family val="2"/>
      </rPr>
      <t>(outcome statement)</t>
    </r>
  </si>
  <si>
    <r>
      <t xml:space="preserve">Descrição dos Produtos
</t>
    </r>
    <r>
      <rPr>
        <sz val="10"/>
        <rFont val="Arial"/>
        <family val="2"/>
      </rPr>
      <t>(output statement)</t>
    </r>
  </si>
  <si>
    <r>
      <t xml:space="preserve">Metas  Anuais 
</t>
    </r>
    <r>
      <rPr>
        <sz val="10"/>
        <rFont val="Arial"/>
        <family val="2"/>
      </rPr>
      <t>(output targets)</t>
    </r>
  </si>
  <si>
    <t>Subtotal - Produto 3.1 (meta ano 2006)</t>
  </si>
  <si>
    <t>Subtotal - Produto 3.1 (meta ano 2007)</t>
  </si>
  <si>
    <t>Subtotal - Produto 3.1 (meta ano 2008)</t>
  </si>
  <si>
    <t>Subtotal - Produto 3.2 (meta ano 2007)</t>
  </si>
  <si>
    <t>Subtotal - Produto 3.3 (meta ano 2007)</t>
  </si>
  <si>
    <t>Subtotal - Produto 3.3 (meta ano 2008)</t>
  </si>
  <si>
    <t>Avaliação intermediária do Projeto realizada</t>
  </si>
  <si>
    <t>Total do Resultado 3</t>
  </si>
  <si>
    <t>Total 2006</t>
  </si>
  <si>
    <t>Total 2007</t>
  </si>
  <si>
    <t>Total 2008</t>
  </si>
  <si>
    <t>Total líquido</t>
  </si>
  <si>
    <t>Custos Operacionais PNUD</t>
  </si>
  <si>
    <t>Total Bruto (109)</t>
  </si>
  <si>
    <t>PLANO DE TRABALHO ANUAL</t>
  </si>
  <si>
    <t>Com base nas metas anuais definidas na Matriz de Resultados e Recursos do Projeto (PRRF), favor detalhar no quadro abaixo as informações solicitadas.</t>
  </si>
  <si>
    <t xml:space="preserve">Produto Esperado </t>
  </si>
  <si>
    <t xml:space="preserve">Principais Atividades </t>
  </si>
  <si>
    <t>Período</t>
  </si>
  <si>
    <t>Parceiro Responsável</t>
  </si>
  <si>
    <t xml:space="preserve">Orçamento Planejado para o Produto no Ano 1*
</t>
  </si>
  <si>
    <t>1o. Trim</t>
  </si>
  <si>
    <t>2o. Trim</t>
  </si>
  <si>
    <t>3o. Trim</t>
  </si>
  <si>
    <t>4o. Trim</t>
  </si>
  <si>
    <t>Linha Orçamentária**</t>
  </si>
  <si>
    <t>Descrição de Insumos</t>
  </si>
  <si>
    <t>Fonte de Recurso 1/ Linha***</t>
  </si>
  <si>
    <t>Valor (US$)</t>
  </si>
  <si>
    <t>Fonte de Recurso N/      Linha***</t>
  </si>
  <si>
    <t>Valor Total da Sublinha (US$)</t>
  </si>
  <si>
    <t>X</t>
  </si>
  <si>
    <t xml:space="preserve"> Agência Executora</t>
  </si>
  <si>
    <t>GOV - 101</t>
  </si>
  <si>
    <t>15.01</t>
  </si>
  <si>
    <t>Viagens</t>
  </si>
  <si>
    <t>Consultores Nacionais</t>
  </si>
  <si>
    <t>21.01</t>
  </si>
  <si>
    <t>Contratos</t>
  </si>
  <si>
    <t>Treinamento</t>
  </si>
  <si>
    <t>Subtotal Fonte 1</t>
  </si>
  <si>
    <t>Subtotal Fonte N</t>
  </si>
  <si>
    <t>SUBTOTAL PRODUTO 1.2</t>
  </si>
  <si>
    <t>Avaliação final do Projeto realizada</t>
  </si>
  <si>
    <t>ANO 1: 2006</t>
  </si>
  <si>
    <t>ANO 2: 2007</t>
  </si>
  <si>
    <t>ANO 3: 2008</t>
  </si>
  <si>
    <t>SUBTOTAL PRODUTO 1.3</t>
  </si>
  <si>
    <t>SUBTOTAL PRODUTO 2.1</t>
  </si>
  <si>
    <t>SUBTOTAL PRODUTO 3.1</t>
  </si>
  <si>
    <t>SUBTOTAL PRODUTO 3.2</t>
  </si>
  <si>
    <t>SUBTOTAL PRODUTO 3.4</t>
  </si>
  <si>
    <t>BID - 102.2</t>
  </si>
  <si>
    <t>Agência Executora</t>
  </si>
  <si>
    <t>Número do Projeto:  BRA/06/016</t>
  </si>
  <si>
    <t>Número do Projeto: BRA/06/016</t>
  </si>
  <si>
    <t>Consultores Internacionais</t>
  </si>
  <si>
    <t>11.01</t>
  </si>
  <si>
    <t>Título do Projeto: Programa Nacional de Desenvolvimento Institucional das Parcerias Público-Privadas</t>
  </si>
  <si>
    <t>Título do Projeto:  Programa Nacional de Desenvolvimento Institucional das Parcerias Público-Privadas</t>
  </si>
  <si>
    <t>Consultorias (pessoa jurídica e pessoa física), serviços, equipamentos, passagens, diárias e inscrições efetuadas</t>
  </si>
  <si>
    <t xml:space="preserve">Consultorias pessoa física, passagens e diárias                                            </t>
  </si>
  <si>
    <t>Consultorias pessoa física, passagens                                             e diárias</t>
  </si>
  <si>
    <t>Consultoria Pessoa Física, passagens, diárias</t>
  </si>
  <si>
    <t>Consultoria pessoa física</t>
  </si>
  <si>
    <t xml:space="preserve">Consultoria pessoa física                                         </t>
  </si>
  <si>
    <t>Resultados do Projeto (outcome statement)</t>
  </si>
  <si>
    <t>4. Processos do Comitê Gestor das PPPs definidos e implantados</t>
  </si>
  <si>
    <t>5.Regulamentação da Lei das PPP concluída</t>
  </si>
  <si>
    <t>7. Dois projetos-piloto PPP estruturados</t>
  </si>
  <si>
    <r>
      <t>Resultado 1.</t>
    </r>
    <r>
      <rPr>
        <sz val="10"/>
        <rFont val="Arial"/>
        <family val="2"/>
      </rPr>
      <t xml:space="preserve"> Consolidação da Unidade PPP na Assessoria Econômica do Ministério do Planejamentol, suporte a Ministérios Setoriais e a Estados na implantação da estrutura institucional para PPP</t>
    </r>
  </si>
  <si>
    <t>2. Metodologia para apresentação de projetos de PPP definida</t>
  </si>
  <si>
    <t>Indicadores de Resultados do Projeto</t>
  </si>
  <si>
    <t>MATRIZ DE RESULTADOS E RECURSOS DO PROJETO</t>
  </si>
  <si>
    <t>ORÇAMENTO CONSOLIDADO</t>
  </si>
  <si>
    <t>GLOBAL</t>
  </si>
  <si>
    <t>32.01</t>
  </si>
  <si>
    <t>17.01</t>
  </si>
  <si>
    <t>Total 2006:</t>
  </si>
  <si>
    <t>Total 2007:</t>
  </si>
  <si>
    <t>Total 2008:</t>
  </si>
  <si>
    <t>Total global:</t>
  </si>
  <si>
    <t>2006 (por Fonte de Recurso)</t>
  </si>
  <si>
    <t>2007 (por Fonte de Recurso)</t>
  </si>
  <si>
    <t>2008 (por Fonte de Recurso)</t>
  </si>
  <si>
    <t>Instrumentos gerais de contratação elaborados</t>
  </si>
  <si>
    <t>6.Realização de pelo menos dois seminários ou cursos de capacitação para representantes dos Estados e dos ministérios setoriais</t>
  </si>
  <si>
    <t>Consultoria pessoa física, aquisição de software, aquisição de bibliografia especializada e viagens</t>
  </si>
  <si>
    <t>Estratégia de atuação avaliada e definida</t>
  </si>
  <si>
    <t>Consultoria pessoa física, aquisição de bibliografia especializada e viagens</t>
  </si>
  <si>
    <t>Realização de 2 cursos de capacitação, 1 seminário e participação em 4 seminários (nacional ou internacional)</t>
  </si>
  <si>
    <t>Consultorias (pessoa física), serviços, equipamentos, passagens, diárias e inscrições efetuadas</t>
  </si>
  <si>
    <t>Realização de 2 cursos de capacitação e participação em 4 seminários (nacional ou internacional)</t>
  </si>
  <si>
    <t>Realização de 4 cursos de capacitação, 1 seminário e participação em 8 seminários (nacional ou internacional)</t>
  </si>
  <si>
    <t>Produto 1.3. Projetos técnicos para  implantação de Programas de PPP nos Estados</t>
  </si>
  <si>
    <t>Elaboração de projeto técnico para 4 Estados</t>
  </si>
  <si>
    <t>Consultorias pessoa física, passagens, diárias</t>
  </si>
  <si>
    <t>Elaboração de projeto técnico para 2 Estados</t>
  </si>
  <si>
    <t>Produto 2.1. Desenvolvimento de propostas de procedimentos e instrumentos jurídicos para contratação, execução, fiscalização e avaliação do desempenho dos contratos de PPP e regulamentação da Lei PPP</t>
  </si>
  <si>
    <r>
      <t xml:space="preserve">Resultado 2. </t>
    </r>
    <r>
      <rPr>
        <sz val="10"/>
        <rFont val="Arial"/>
        <family val="2"/>
      </rPr>
      <t>Regulamentação e institucionalização da metodologia PPP</t>
    </r>
  </si>
  <si>
    <t>2.1. Desenvolvimento de propostas de procedimentos e instrumentos jurídicos para contratação, execução, fiscalização e avaliação do desempenho dos contratos de PPP e regulamentação da Lei PPP</t>
  </si>
  <si>
    <t>Descrição dos Produtos    (output statement)</t>
  </si>
  <si>
    <r>
      <t>Resultado 3.</t>
    </r>
    <r>
      <rPr>
        <sz val="10"/>
        <rFont val="Arial"/>
        <family val="2"/>
      </rPr>
      <t xml:space="preserve"> Experiências-piloto de estruturação e desenvolvimento dos projetos de PPP</t>
    </r>
  </si>
  <si>
    <t>Produto 3.1. Estruturação de 2 projetos-piloto</t>
  </si>
  <si>
    <t>Produto 3.3. Avaliações</t>
  </si>
  <si>
    <t>Estudos de avaliação, econômico-financeiros, técnicos, jurídicos e de mercado elaborados</t>
  </si>
  <si>
    <t>Estudos de avaliação, econômico-financeiros, jurídicos, sócio-ambientais, técnicos e comerciais elaborados para 2 projetos-piloto</t>
  </si>
  <si>
    <t>Consultoria  pessoa jurídica e viagens da equipe técnica que coordena os projetos</t>
  </si>
  <si>
    <t>Projetos-piloto estruturados</t>
  </si>
  <si>
    <t>Viagens da equipe técnica que coordena os projetos</t>
  </si>
  <si>
    <t>Subtotal - Produto 3.2 (meta ano 2008)</t>
  </si>
  <si>
    <t>Diretrizes para estruturação e licitação de projetos de PPP elaboradas</t>
  </si>
  <si>
    <t>Subtotal - Produto 1.3 (meta ano 2006)</t>
  </si>
  <si>
    <t>SUBTOTAL PRODUTO 1.1</t>
  </si>
  <si>
    <t>Produto 1.3. Projetos técnicos para implantação de Programas de PPP nos Estados</t>
  </si>
  <si>
    <t>45.01</t>
  </si>
  <si>
    <t>Bibliografia especializada</t>
  </si>
  <si>
    <t>assinaturas de base de dados, nacionais e internacionais, realizadas</t>
  </si>
  <si>
    <t>Subtotal - Porduto 1.1 (meta ano 2007)</t>
  </si>
  <si>
    <t>Subtotal - Produto 1.1 (meta ano 2008)</t>
  </si>
  <si>
    <t>Avaliação dos resultados dos projetos-piloto de PPP</t>
  </si>
  <si>
    <t>Produto 3.2. Avaliação do desempenho dos projetos-piloto e elaboração de diretrizes para futuros contratos de PPP</t>
  </si>
  <si>
    <t>Processos para acompanhamento e execução das atividades da ASSEC relacionadas com o Programa Federal de PPP diagnosticados e modelados</t>
  </si>
  <si>
    <t>Modelo organizacional definido e Unidade PPP estruturada</t>
  </si>
  <si>
    <t>Assinaturas de base de dados, nacionais e internacionais, realizadas</t>
  </si>
  <si>
    <r>
      <t xml:space="preserve">Realização de 2 cursos de capacitação e participação em 4 seminários (nacional ou internacional) - </t>
    </r>
    <r>
      <rPr>
        <b/>
        <sz val="10"/>
        <color indexed="10"/>
        <rFont val="Arial"/>
        <family val="2"/>
      </rPr>
      <t>Atividades prévias: fazer levantamento dos temas prioritários para capacitação, identificar cursos e seminários relevantes, público-alvo, instrutores, definir plano de capacitação; elaborar termos de referência; publicar, instaurar processo seletivo; contratar consultores.</t>
    </r>
  </si>
  <si>
    <r>
      <t xml:space="preserve">Elaboração de projeto técnico para 2 Estados - </t>
    </r>
    <r>
      <rPr>
        <b/>
        <sz val="10"/>
        <color indexed="10"/>
        <rFont val="Arial"/>
        <family val="2"/>
      </rPr>
      <t>Atividades prévias: Identificação de 2 Estados com demanda para implantação de Programa de PPP, do ponto de vista institucional ou de implementação de projetos; elaborar termos de referência; publicar, instaurar processo seletivo; contratar consultores</t>
    </r>
  </si>
  <si>
    <t>Material</t>
  </si>
  <si>
    <t>1. Estudos técnicos pertinentes à estruturação dos projetos-piloto elaborados</t>
  </si>
  <si>
    <t>3. Modelos de edital de licitação, termos de referência e de contratos para projetos de PPP definidos</t>
  </si>
  <si>
    <t>8. Relatório de avaliação do Programa concluído</t>
  </si>
  <si>
    <t>Produto 1.1. Avaliação e definição do modelo organizacional, estratégia de atuação e estruturação da Unidade PPP da ASSEC do MP</t>
  </si>
  <si>
    <r>
      <t xml:space="preserve">Estudos, pareceres e minutas de regulamentação para as PPPs produzidas. </t>
    </r>
    <r>
      <rPr>
        <b/>
        <sz val="10"/>
        <color indexed="10"/>
        <rFont val="Arial"/>
        <family val="2"/>
      </rPr>
      <t>Atividades prévias: Identificação de eventuais lacunas ou conflitos na legislação aplicável às PPPs e na legislação setorial para a implementação de projetos e para o gerenciamento pelo Comitê Gestor; elaborar termos de referência; publicar; instaurar processo seletivo; contratar consultores.</t>
    </r>
  </si>
  <si>
    <r>
      <t xml:space="preserve">Assinaturas de base de dados, nacionais e internacionais, realizadas. </t>
    </r>
    <r>
      <rPr>
        <b/>
        <sz val="10"/>
        <color indexed="10"/>
        <rFont val="Arial"/>
        <family val="2"/>
      </rPr>
      <t xml:space="preserve">Atividades prévias: fazer levantamento das necessidades da ASSEC como órgão técnico de gerenciamento das PPP, identificação das possíveis bases de dados bibliográficos e periódicos que reflitam os avanços institucionais no mundo relativos a PPP e investimentos em infra-estrutura; elaborar termos de referência. </t>
    </r>
  </si>
  <si>
    <r>
      <t xml:space="preserve">Modelo de relatório e sistema de acompanhamento de contratos PPP produzidos. </t>
    </r>
    <r>
      <rPr>
        <b/>
        <sz val="10"/>
        <color indexed="10"/>
        <rFont val="Arial"/>
        <family val="2"/>
      </rPr>
      <t>Atividades prévias: identificação do foco que deva ser dado ao acompanhamento e gerenciamento dos contratos de PPP juntamente com os Ministérios Setoriais e órgãos de controle.</t>
    </r>
  </si>
  <si>
    <r>
      <t xml:space="preserve">Estudos de avaliação, econômico-financeiros, técnicos, jurídicos e de mercado elaborados. </t>
    </r>
    <r>
      <rPr>
        <b/>
        <sz val="10"/>
        <color indexed="10"/>
        <rFont val="Arial"/>
        <family val="2"/>
      </rPr>
      <t>Atividades prévias: definição dos projetos, levantamento de dados disponíveis sobre os projetos;  realização de visitas técnicas; reuniões com órgãos setoriais; elaboração de termos de referência; publicação; instauração de processo seletivo; contratação de avalições, estudos, modelagens.</t>
    </r>
  </si>
  <si>
    <r>
      <t xml:space="preserve">Diagnosticar e modelar processos para acompanhamento e execução das atividades da ASSEC relacionadas com o Programa Federal de PPP. </t>
    </r>
    <r>
      <rPr>
        <b/>
        <sz val="10"/>
        <color indexed="10"/>
        <rFont val="Arial"/>
        <family val="2"/>
      </rPr>
      <t>Atividades prévias: elaborar termos de referência; publicar, instaurar processo seletivo; contratar consultores.</t>
    </r>
  </si>
  <si>
    <t>Propostas de Instrumentos gerais de contratação  elaboradas</t>
  </si>
  <si>
    <r>
      <t xml:space="preserve">Propostas de instrumentos gerais de contratação elaboradas </t>
    </r>
    <r>
      <rPr>
        <b/>
        <sz val="10"/>
        <color indexed="10"/>
        <rFont val="Arial"/>
        <family val="2"/>
      </rPr>
      <t>- Atividades prévias: Definição dos instrumentos gerais (termos de referência, edital, contrato e acessórios) que prioritariamente devam ser padronizados e dos setores prioritários para PPP; elaborar termos de referência; publicar, instaurar processo seletivo; contratar consultores para elaboração de propostas.</t>
    </r>
  </si>
  <si>
    <t>Propostas de instrumentos gerais de contratação elaboradas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</si>
</sst>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_);\(0\)"/>
    <numFmt numFmtId="175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4" fontId="0" fillId="3" borderId="4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3" borderId="9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/>
    </xf>
    <xf numFmtId="4" fontId="0" fillId="3" borderId="5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4" fontId="1" fillId="6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1" fillId="7" borderId="5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wrapText="1"/>
    </xf>
    <xf numFmtId="0" fontId="5" fillId="7" borderId="7" xfId="0" applyFont="1" applyFill="1" applyBorder="1" applyAlignment="1">
      <alignment horizontal="right" vertical="center" wrapText="1"/>
    </xf>
    <xf numFmtId="0" fontId="5" fillId="7" borderId="11" xfId="0" applyFont="1" applyFill="1" applyBorder="1" applyAlignment="1">
      <alignment horizontal="right" wrapText="1"/>
    </xf>
    <xf numFmtId="0" fontId="0" fillId="0" borderId="14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/>
    </xf>
    <xf numFmtId="4" fontId="1" fillId="4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3" fontId="1" fillId="4" borderId="1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3" fontId="1" fillId="4" borderId="15" xfId="15" applyFont="1" applyFill="1" applyBorder="1" applyAlignment="1">
      <alignment horizontal="right"/>
    </xf>
    <xf numFmtId="43" fontId="1" fillId="4" borderId="15" xfId="15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3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3" fontId="0" fillId="0" borderId="0" xfId="15" applyFont="1" applyBorder="1" applyAlignment="1">
      <alignment/>
    </xf>
    <xf numFmtId="43" fontId="5" fillId="0" borderId="0" xfId="15" applyFont="1" applyFill="1" applyBorder="1" applyAlignment="1">
      <alignment horizontal="left" vertical="center" wrapText="1"/>
    </xf>
    <xf numFmtId="43" fontId="5" fillId="5" borderId="5" xfId="15" applyFont="1" applyFill="1" applyBorder="1" applyAlignment="1">
      <alignment horizontal="center" vertical="center" wrapText="1"/>
    </xf>
    <xf numFmtId="43" fontId="0" fillId="0" borderId="5" xfId="15" applyFont="1" applyBorder="1" applyAlignment="1">
      <alignment/>
    </xf>
    <xf numFmtId="43" fontId="0" fillId="0" borderId="5" xfId="0" applyNumberFormat="1" applyFont="1" applyFill="1" applyBorder="1" applyAlignment="1">
      <alignment/>
    </xf>
    <xf numFmtId="43" fontId="0" fillId="5" borderId="5" xfId="15" applyFont="1" applyFill="1" applyBorder="1" applyAlignment="1">
      <alignment horizontal="center"/>
    </xf>
    <xf numFmtId="43" fontId="0" fillId="5" borderId="16" xfId="15" applyFont="1" applyFill="1" applyBorder="1" applyAlignment="1">
      <alignment horizontal="center"/>
    </xf>
    <xf numFmtId="43" fontId="0" fillId="5" borderId="19" xfId="0" applyNumberFormat="1" applyFont="1" applyFill="1" applyBorder="1" applyAlignment="1">
      <alignment/>
    </xf>
    <xf numFmtId="43" fontId="0" fillId="0" borderId="4" xfId="0" applyNumberFormat="1" applyFont="1" applyFill="1" applyBorder="1" applyAlignment="1">
      <alignment/>
    </xf>
    <xf numFmtId="43" fontId="0" fillId="5" borderId="17" xfId="15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4" fontId="0" fillId="4" borderId="21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/>
    </xf>
    <xf numFmtId="4" fontId="1" fillId="4" borderId="11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43" fontId="0" fillId="0" borderId="0" xfId="0" applyNumberFormat="1" applyFont="1" applyAlignment="1">
      <alignment/>
    </xf>
    <xf numFmtId="4" fontId="0" fillId="0" borderId="5" xfId="0" applyNumberFormat="1" applyFont="1" applyBorder="1" applyAlignment="1">
      <alignment horizontal="right" vertical="center" wrapText="1"/>
    </xf>
    <xf numFmtId="43" fontId="0" fillId="0" borderId="5" xfId="15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2" borderId="23" xfId="0" applyFont="1" applyFill="1" applyBorder="1" applyAlignment="1">
      <alignment horizontal="center"/>
    </xf>
    <xf numFmtId="0" fontId="5" fillId="0" borderId="1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5" borderId="9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right" vertical="center"/>
    </xf>
    <xf numFmtId="0" fontId="1" fillId="4" borderId="32" xfId="0" applyFont="1" applyFill="1" applyBorder="1" applyAlignment="1">
      <alignment horizontal="right" vertical="center"/>
    </xf>
    <xf numFmtId="0" fontId="1" fillId="4" borderId="33" xfId="0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7" borderId="34" xfId="0" applyFont="1" applyFill="1" applyBorder="1" applyAlignment="1">
      <alignment horizontal="right" vertical="center"/>
    </xf>
    <xf numFmtId="0" fontId="1" fillId="7" borderId="35" xfId="0" applyFont="1" applyFill="1" applyBorder="1" applyAlignment="1">
      <alignment horizontal="right" vertical="center"/>
    </xf>
    <xf numFmtId="0" fontId="1" fillId="7" borderId="36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right" vertical="center"/>
    </xf>
    <xf numFmtId="0" fontId="1" fillId="4" borderId="40" xfId="0" applyFont="1" applyFill="1" applyBorder="1" applyAlignment="1">
      <alignment horizontal="right" vertical="center"/>
    </xf>
    <xf numFmtId="0" fontId="1" fillId="4" borderId="41" xfId="0" applyFont="1" applyFill="1" applyBorder="1" applyAlignment="1">
      <alignment horizontal="right" vertical="center"/>
    </xf>
    <xf numFmtId="0" fontId="1" fillId="6" borderId="37" xfId="0" applyFont="1" applyFill="1" applyBorder="1" applyAlignment="1">
      <alignment horizontal="right" vertical="center"/>
    </xf>
    <xf numFmtId="0" fontId="1" fillId="6" borderId="42" xfId="0" applyFont="1" applyFill="1" applyBorder="1" applyAlignment="1">
      <alignment horizontal="right" vertical="center"/>
    </xf>
    <xf numFmtId="0" fontId="1" fillId="6" borderId="38" xfId="0" applyFont="1" applyFill="1" applyBorder="1" applyAlignment="1">
      <alignment horizontal="right" vertical="center"/>
    </xf>
    <xf numFmtId="0" fontId="1" fillId="7" borderId="5" xfId="0" applyFont="1" applyFill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right" vertical="center" wrapText="1"/>
    </xf>
    <xf numFmtId="0" fontId="1" fillId="4" borderId="15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5" borderId="16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7" borderId="8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7" borderId="17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2</xdr:row>
      <xdr:rowOff>9525</xdr:rowOff>
    </xdr:from>
    <xdr:to>
      <xdr:col>0</xdr:col>
      <xdr:colOff>1409700</xdr:colOff>
      <xdr:row>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90525"/>
          <a:ext cx="8477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28575</xdr:rowOff>
    </xdr:from>
    <xdr:to>
      <xdr:col>0</xdr:col>
      <xdr:colOff>1085850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8382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50" zoomScaleNormal="150" workbookViewId="0" topLeftCell="A1">
      <selection activeCell="H10" sqref="H10"/>
    </sheetView>
  </sheetViews>
  <sheetFormatPr defaultColWidth="9.140625" defaultRowHeight="12.75"/>
  <cols>
    <col min="1" max="1" width="12.7109375" style="7" customWidth="1"/>
    <col min="2" max="2" width="13.7109375" style="7" customWidth="1"/>
    <col min="3" max="7" width="9.140625" style="7" hidden="1" customWidth="1"/>
    <col min="8" max="8" width="13.28125" style="87" customWidth="1"/>
    <col min="9" max="9" width="13.421875" style="87" bestFit="1" customWidth="1"/>
    <col min="10" max="10" width="13.421875" style="10" customWidth="1"/>
    <col min="11" max="11" width="11.7109375" style="7" bestFit="1" customWidth="1"/>
    <col min="12" max="16384" width="9.140625" style="7" customWidth="1"/>
  </cols>
  <sheetData>
    <row r="1" spans="1:2" ht="13.5" thickBot="1">
      <c r="A1" s="40"/>
      <c r="B1" s="40"/>
    </row>
    <row r="2" spans="1:10" ht="24" customHeight="1" thickBot="1">
      <c r="A2" s="138" t="s">
        <v>106</v>
      </c>
      <c r="B2" s="139"/>
      <c r="C2" s="139"/>
      <c r="D2" s="139"/>
      <c r="E2" s="139"/>
      <c r="F2" s="139"/>
      <c r="G2" s="139"/>
      <c r="H2" s="139"/>
      <c r="I2" s="139"/>
      <c r="J2" s="140"/>
    </row>
    <row r="3" spans="1:10" ht="13.5" thickBot="1">
      <c r="A3" s="40"/>
      <c r="B3" s="40"/>
      <c r="I3" s="88"/>
      <c r="J3" s="86"/>
    </row>
    <row r="4" spans="1:10" ht="13.5" thickBot="1">
      <c r="A4" s="141" t="s">
        <v>114</v>
      </c>
      <c r="B4" s="142"/>
      <c r="C4" s="142"/>
      <c r="D4" s="142"/>
      <c r="E4" s="142"/>
      <c r="F4" s="142"/>
      <c r="G4" s="142"/>
      <c r="H4" s="142"/>
      <c r="I4" s="142"/>
      <c r="J4" s="143"/>
    </row>
    <row r="5" spans="1:10" s="2" customFormat="1" ht="38.25" customHeight="1">
      <c r="A5" s="41" t="s">
        <v>57</v>
      </c>
      <c r="B5" s="41" t="s">
        <v>58</v>
      </c>
      <c r="C5" s="82"/>
      <c r="D5" s="82"/>
      <c r="E5" s="82"/>
      <c r="F5" s="82"/>
      <c r="G5" s="82"/>
      <c r="H5" s="89" t="s">
        <v>84</v>
      </c>
      <c r="I5" s="89" t="s">
        <v>65</v>
      </c>
      <c r="J5" s="41" t="s">
        <v>62</v>
      </c>
    </row>
    <row r="6" spans="1:10" s="2" customFormat="1" ht="22.5">
      <c r="A6" s="65" t="s">
        <v>89</v>
      </c>
      <c r="B6" s="45" t="s">
        <v>88</v>
      </c>
      <c r="C6" s="7"/>
      <c r="D6" s="7"/>
      <c r="E6" s="7"/>
      <c r="F6" s="7"/>
      <c r="G6" s="7"/>
      <c r="H6" s="90">
        <f>11000+20000+50000</f>
        <v>81000</v>
      </c>
      <c r="I6" s="90">
        <f>20500+1000</f>
        <v>21500</v>
      </c>
      <c r="J6" s="91">
        <f aca="true" t="shared" si="0" ref="J6:J12">SUM(H6:I6)</f>
        <v>102500</v>
      </c>
    </row>
    <row r="7" spans="1:10" s="2" customFormat="1" ht="12.75">
      <c r="A7" s="44" t="s">
        <v>66</v>
      </c>
      <c r="B7" s="45" t="s">
        <v>67</v>
      </c>
      <c r="C7" s="7"/>
      <c r="D7" s="7"/>
      <c r="E7" s="7"/>
      <c r="F7" s="7"/>
      <c r="G7" s="7"/>
      <c r="H7" s="90">
        <f>0</f>
        <v>0</v>
      </c>
      <c r="I7" s="90">
        <f>2800+8000+5000+2000+2000+14000</f>
        <v>33800</v>
      </c>
      <c r="J7" s="91">
        <f t="shared" si="0"/>
        <v>33800</v>
      </c>
    </row>
    <row r="8" spans="1:10" ht="27" customHeight="1">
      <c r="A8" s="44" t="s">
        <v>109</v>
      </c>
      <c r="B8" s="45" t="s">
        <v>68</v>
      </c>
      <c r="H8" s="90">
        <f>40000+32000</f>
        <v>72000</v>
      </c>
      <c r="I8" s="90">
        <f>50000+23000</f>
        <v>73000</v>
      </c>
      <c r="J8" s="91">
        <f t="shared" si="0"/>
        <v>145000</v>
      </c>
    </row>
    <row r="9" spans="1:10" ht="15" customHeight="1">
      <c r="A9" s="66" t="s">
        <v>69</v>
      </c>
      <c r="B9" s="78" t="s">
        <v>70</v>
      </c>
      <c r="H9" s="90">
        <f>10000+6000+380530</f>
        <v>396530</v>
      </c>
      <c r="I9" s="90">
        <f>265000+9000</f>
        <v>274000</v>
      </c>
      <c r="J9" s="91">
        <f t="shared" si="0"/>
        <v>670530</v>
      </c>
    </row>
    <row r="10" spans="1:10" ht="15" customHeight="1">
      <c r="A10" s="44" t="s">
        <v>108</v>
      </c>
      <c r="B10" s="45" t="s">
        <v>71</v>
      </c>
      <c r="H10" s="90">
        <f>6000</f>
        <v>6000</v>
      </c>
      <c r="I10" s="90">
        <f>3000</f>
        <v>3000</v>
      </c>
      <c r="J10" s="95">
        <f t="shared" si="0"/>
        <v>9000</v>
      </c>
    </row>
    <row r="11" spans="1:10" ht="13.5" thickBot="1">
      <c r="A11" s="44" t="s">
        <v>147</v>
      </c>
      <c r="B11" s="45" t="s">
        <v>159</v>
      </c>
      <c r="H11" s="90">
        <f>1900</f>
        <v>1900</v>
      </c>
      <c r="I11" s="90">
        <f>0</f>
        <v>0</v>
      </c>
      <c r="J11" s="95">
        <f t="shared" si="0"/>
        <v>1900</v>
      </c>
    </row>
    <row r="12" spans="1:11" ht="13.5" thickBot="1">
      <c r="A12" s="131" t="s">
        <v>110</v>
      </c>
      <c r="B12" s="132"/>
      <c r="H12" s="92">
        <f>SUM(H6:H11)</f>
        <v>557430</v>
      </c>
      <c r="I12" s="93">
        <f>SUM(I6:I11)</f>
        <v>405300</v>
      </c>
      <c r="J12" s="94">
        <f t="shared" si="0"/>
        <v>962730</v>
      </c>
      <c r="K12" s="123"/>
    </row>
    <row r="13" ht="13.5" thickBot="1"/>
    <row r="14" spans="1:10" ht="13.5" thickBot="1">
      <c r="A14" s="141" t="s">
        <v>115</v>
      </c>
      <c r="B14" s="142"/>
      <c r="C14" s="142"/>
      <c r="D14" s="142"/>
      <c r="E14" s="142"/>
      <c r="F14" s="142"/>
      <c r="G14" s="142"/>
      <c r="H14" s="142"/>
      <c r="I14" s="142"/>
      <c r="J14" s="143"/>
    </row>
    <row r="15" spans="1:10" ht="22.5">
      <c r="A15" s="80" t="s">
        <v>57</v>
      </c>
      <c r="B15" s="80" t="s">
        <v>58</v>
      </c>
      <c r="C15" s="81"/>
      <c r="D15" s="81"/>
      <c r="E15" s="81"/>
      <c r="F15" s="81"/>
      <c r="G15" s="81"/>
      <c r="H15" s="89" t="s">
        <v>84</v>
      </c>
      <c r="I15" s="89" t="s">
        <v>65</v>
      </c>
      <c r="J15" s="41" t="s">
        <v>62</v>
      </c>
    </row>
    <row r="16" spans="1:11" ht="22.5">
      <c r="A16" s="65" t="s">
        <v>89</v>
      </c>
      <c r="B16" s="45" t="s">
        <v>88</v>
      </c>
      <c r="H16" s="90">
        <f>103000+61000+80000+34000+20000</f>
        <v>298000</v>
      </c>
      <c r="I16" s="90">
        <v>8000</v>
      </c>
      <c r="J16" s="91">
        <f aca="true" t="shared" si="1" ref="J16:J22">SUM(H16:I16)</f>
        <v>306000</v>
      </c>
      <c r="K16" s="83"/>
    </row>
    <row r="17" spans="1:11" ht="12.75">
      <c r="A17" s="44" t="s">
        <v>66</v>
      </c>
      <c r="B17" s="45" t="s">
        <v>67</v>
      </c>
      <c r="H17" s="90">
        <f>0</f>
        <v>0</v>
      </c>
      <c r="I17" s="90">
        <f>18350+19000+10000+3000+8000+37000+5000</f>
        <v>100350</v>
      </c>
      <c r="J17" s="91">
        <f t="shared" si="1"/>
        <v>100350</v>
      </c>
      <c r="K17" s="83"/>
    </row>
    <row r="18" spans="1:11" ht="22.5">
      <c r="A18" s="44" t="s">
        <v>109</v>
      </c>
      <c r="B18" s="45" t="s">
        <v>68</v>
      </c>
      <c r="H18" s="90">
        <f>45000+43040</f>
        <v>88040</v>
      </c>
      <c r="I18" s="90">
        <f>40000+35000</f>
        <v>75000</v>
      </c>
      <c r="J18" s="91">
        <f t="shared" si="1"/>
        <v>163040</v>
      </c>
      <c r="K18" s="83"/>
    </row>
    <row r="19" spans="1:11" ht="12.75">
      <c r="A19" s="66" t="s">
        <v>69</v>
      </c>
      <c r="B19" s="78" t="s">
        <v>70</v>
      </c>
      <c r="H19" s="90">
        <f>25000+7000+949610</f>
        <v>981610</v>
      </c>
      <c r="I19" s="90">
        <f>55000+13000+1020000</f>
        <v>1088000</v>
      </c>
      <c r="J19" s="91">
        <f t="shared" si="1"/>
        <v>2069610</v>
      </c>
      <c r="K19" s="83"/>
    </row>
    <row r="20" spans="1:11" ht="12.75">
      <c r="A20" s="44" t="s">
        <v>108</v>
      </c>
      <c r="B20" s="45" t="s">
        <v>71</v>
      </c>
      <c r="H20" s="90">
        <f>45000</f>
        <v>45000</v>
      </c>
      <c r="I20" s="90">
        <f>0</f>
        <v>0</v>
      </c>
      <c r="J20" s="95">
        <f t="shared" si="1"/>
        <v>45000</v>
      </c>
      <c r="K20" s="83"/>
    </row>
    <row r="21" spans="1:11" ht="13.5" thickBot="1">
      <c r="A21" s="44" t="s">
        <v>147</v>
      </c>
      <c r="B21" s="45" t="s">
        <v>159</v>
      </c>
      <c r="H21" s="90">
        <f>1640</f>
        <v>1640</v>
      </c>
      <c r="I21" s="90">
        <f>0</f>
        <v>0</v>
      </c>
      <c r="J21" s="95">
        <f t="shared" si="1"/>
        <v>1640</v>
      </c>
      <c r="K21" s="83"/>
    </row>
    <row r="22" spans="1:11" ht="13.5" thickBot="1">
      <c r="A22" s="131" t="s">
        <v>111</v>
      </c>
      <c r="B22" s="137"/>
      <c r="H22" s="92">
        <f>SUM(H16:H21)</f>
        <v>1414290</v>
      </c>
      <c r="I22" s="96">
        <f>SUM(I16:I21)</f>
        <v>1271350</v>
      </c>
      <c r="J22" s="94">
        <f t="shared" si="1"/>
        <v>2685640</v>
      </c>
      <c r="K22" s="83"/>
    </row>
    <row r="23" ht="13.5" thickBot="1">
      <c r="K23" s="83"/>
    </row>
    <row r="24" spans="1:10" ht="13.5" thickBot="1">
      <c r="A24" s="141" t="s">
        <v>116</v>
      </c>
      <c r="B24" s="142"/>
      <c r="C24" s="142"/>
      <c r="D24" s="142"/>
      <c r="E24" s="142"/>
      <c r="F24" s="142"/>
      <c r="G24" s="142"/>
      <c r="H24" s="142"/>
      <c r="I24" s="142"/>
      <c r="J24" s="143"/>
    </row>
    <row r="25" spans="1:10" ht="22.5">
      <c r="A25" s="80" t="s">
        <v>57</v>
      </c>
      <c r="B25" s="80" t="s">
        <v>58</v>
      </c>
      <c r="C25" s="81"/>
      <c r="D25" s="81"/>
      <c r="E25" s="81"/>
      <c r="F25" s="81"/>
      <c r="G25" s="81"/>
      <c r="H25" s="89" t="s">
        <v>84</v>
      </c>
      <c r="I25" s="89" t="s">
        <v>65</v>
      </c>
      <c r="J25" s="41" t="s">
        <v>62</v>
      </c>
    </row>
    <row r="26" spans="1:10" ht="22.5">
      <c r="A26" s="65" t="s">
        <v>89</v>
      </c>
      <c r="B26" s="45" t="s">
        <v>88</v>
      </c>
      <c r="H26" s="90">
        <f>32000+41000+80000+34000+53590+20000</f>
        <v>260590</v>
      </c>
      <c r="I26" s="90">
        <f>13000+23800</f>
        <v>36800</v>
      </c>
      <c r="J26" s="91">
        <f aca="true" t="shared" si="2" ref="J26:J32">SUM(H26:I26)</f>
        <v>297390</v>
      </c>
    </row>
    <row r="27" spans="1:10" ht="12.75">
      <c r="A27" s="44" t="s">
        <v>66</v>
      </c>
      <c r="B27" s="45" t="s">
        <v>67</v>
      </c>
      <c r="H27" s="90">
        <f>0</f>
        <v>0</v>
      </c>
      <c r="I27" s="90">
        <f>10350+16000+5000+1000+27000+5000+3000</f>
        <v>67350</v>
      </c>
      <c r="J27" s="91">
        <f t="shared" si="2"/>
        <v>67350</v>
      </c>
    </row>
    <row r="28" spans="1:10" ht="22.5">
      <c r="A28" s="44" t="s">
        <v>109</v>
      </c>
      <c r="B28" s="45" t="s">
        <v>68</v>
      </c>
      <c r="H28" s="90">
        <f>56000</f>
        <v>56000</v>
      </c>
      <c r="I28" s="90">
        <f>18200</f>
        <v>18200</v>
      </c>
      <c r="J28" s="91">
        <f t="shared" si="2"/>
        <v>74200</v>
      </c>
    </row>
    <row r="29" spans="1:10" ht="12.75">
      <c r="A29" s="66" t="s">
        <v>69</v>
      </c>
      <c r="B29" s="78" t="s">
        <v>70</v>
      </c>
      <c r="H29" s="90">
        <f>16000</f>
        <v>16000</v>
      </c>
      <c r="I29" s="90">
        <f>4000</f>
        <v>4000</v>
      </c>
      <c r="J29" s="91">
        <f t="shared" si="2"/>
        <v>20000</v>
      </c>
    </row>
    <row r="30" spans="1:10" ht="12.75">
      <c r="A30" s="44" t="s">
        <v>108</v>
      </c>
      <c r="B30" s="45" t="s">
        <v>71</v>
      </c>
      <c r="H30" s="90">
        <f>22000</f>
        <v>22000</v>
      </c>
      <c r="I30" s="90">
        <f>0</f>
        <v>0</v>
      </c>
      <c r="J30" s="95">
        <f t="shared" si="2"/>
        <v>22000</v>
      </c>
    </row>
    <row r="31" spans="1:10" ht="13.5" thickBot="1">
      <c r="A31" s="44" t="s">
        <v>147</v>
      </c>
      <c r="B31" s="45" t="s">
        <v>159</v>
      </c>
      <c r="H31" s="90">
        <f>1640</f>
        <v>1640</v>
      </c>
      <c r="I31" s="90">
        <f>0</f>
        <v>0</v>
      </c>
      <c r="J31" s="95">
        <f t="shared" si="2"/>
        <v>1640</v>
      </c>
    </row>
    <row r="32" spans="1:11" ht="13.5" thickBot="1">
      <c r="A32" s="136" t="s">
        <v>112</v>
      </c>
      <c r="B32" s="137"/>
      <c r="H32" s="92">
        <f>SUM(H26:H31)</f>
        <v>356230</v>
      </c>
      <c r="I32" s="93">
        <f>SUM(I26:I31)</f>
        <v>126350</v>
      </c>
      <c r="J32" s="94">
        <f t="shared" si="2"/>
        <v>482580</v>
      </c>
      <c r="K32" s="83"/>
    </row>
    <row r="33" ht="13.5" thickBot="1"/>
    <row r="34" spans="1:10" ht="13.5" thickBot="1">
      <c r="A34" s="141" t="s">
        <v>107</v>
      </c>
      <c r="B34" s="142"/>
      <c r="C34" s="142"/>
      <c r="D34" s="142"/>
      <c r="E34" s="142"/>
      <c r="F34" s="142"/>
      <c r="G34" s="142"/>
      <c r="H34" s="142"/>
      <c r="I34" s="142"/>
      <c r="J34" s="143"/>
    </row>
    <row r="35" spans="1:11" ht="22.5">
      <c r="A35" s="80" t="s">
        <v>57</v>
      </c>
      <c r="B35" s="80" t="s">
        <v>58</v>
      </c>
      <c r="C35" s="81"/>
      <c r="D35" s="81"/>
      <c r="E35" s="81"/>
      <c r="F35" s="81"/>
      <c r="G35" s="81"/>
      <c r="H35" s="89" t="s">
        <v>84</v>
      </c>
      <c r="I35" s="89" t="s">
        <v>65</v>
      </c>
      <c r="J35" s="41" t="s">
        <v>62</v>
      </c>
      <c r="K35" s="1"/>
    </row>
    <row r="36" spans="1:10" ht="22.5">
      <c r="A36" s="65" t="s">
        <v>89</v>
      </c>
      <c r="B36" s="45" t="s">
        <v>88</v>
      </c>
      <c r="H36" s="124">
        <f aca="true" t="shared" si="3" ref="H36:I40">H6+H16+H26</f>
        <v>639590</v>
      </c>
      <c r="I36" s="124">
        <f t="shared" si="3"/>
        <v>66300</v>
      </c>
      <c r="J36" s="91">
        <f aca="true" t="shared" si="4" ref="J36:J42">SUM(H36:I36)</f>
        <v>705890</v>
      </c>
    </row>
    <row r="37" spans="1:10" ht="12.75">
      <c r="A37" s="44" t="s">
        <v>66</v>
      </c>
      <c r="B37" s="45" t="s">
        <v>67</v>
      </c>
      <c r="H37" s="125">
        <f t="shared" si="3"/>
        <v>0</v>
      </c>
      <c r="I37" s="124">
        <f t="shared" si="3"/>
        <v>201500</v>
      </c>
      <c r="J37" s="91">
        <f t="shared" si="4"/>
        <v>201500</v>
      </c>
    </row>
    <row r="38" spans="1:10" ht="22.5">
      <c r="A38" s="44" t="s">
        <v>109</v>
      </c>
      <c r="B38" s="45" t="s">
        <v>68</v>
      </c>
      <c r="H38" s="124">
        <f t="shared" si="3"/>
        <v>216040</v>
      </c>
      <c r="I38" s="124">
        <f t="shared" si="3"/>
        <v>166200</v>
      </c>
      <c r="J38" s="91">
        <f t="shared" si="4"/>
        <v>382240</v>
      </c>
    </row>
    <row r="39" spans="1:10" ht="12.75">
      <c r="A39" s="66" t="s">
        <v>69</v>
      </c>
      <c r="B39" s="78" t="s">
        <v>70</v>
      </c>
      <c r="H39" s="124">
        <f t="shared" si="3"/>
        <v>1394140</v>
      </c>
      <c r="I39" s="124">
        <f t="shared" si="3"/>
        <v>1366000</v>
      </c>
      <c r="J39" s="91">
        <f t="shared" si="4"/>
        <v>2760140</v>
      </c>
    </row>
    <row r="40" spans="1:10" ht="12.75">
      <c r="A40" s="44" t="s">
        <v>108</v>
      </c>
      <c r="B40" s="45" t="s">
        <v>71</v>
      </c>
      <c r="H40" s="124">
        <f>H10+H20+H30</f>
        <v>73000</v>
      </c>
      <c r="I40" s="124">
        <f t="shared" si="3"/>
        <v>3000</v>
      </c>
      <c r="J40" s="91">
        <f t="shared" si="4"/>
        <v>76000</v>
      </c>
    </row>
    <row r="41" spans="1:10" ht="13.5" thickBot="1">
      <c r="A41" s="44" t="s">
        <v>147</v>
      </c>
      <c r="B41" s="45" t="s">
        <v>159</v>
      </c>
      <c r="H41" s="124">
        <f>H11+H21+H31</f>
        <v>5180</v>
      </c>
      <c r="I41" s="125">
        <f>0</f>
        <v>0</v>
      </c>
      <c r="J41" s="91">
        <f t="shared" si="4"/>
        <v>5180</v>
      </c>
    </row>
    <row r="42" spans="1:10" ht="13.5" thickBot="1">
      <c r="A42" s="136" t="s">
        <v>113</v>
      </c>
      <c r="B42" s="137"/>
      <c r="C42" s="2"/>
      <c r="D42" s="2"/>
      <c r="E42" s="2"/>
      <c r="F42" s="2"/>
      <c r="G42" s="2"/>
      <c r="H42" s="92">
        <f>SUM(H36:H41)</f>
        <v>2327950</v>
      </c>
      <c r="I42" s="93">
        <f>SUM(I36:I41)</f>
        <v>1803000</v>
      </c>
      <c r="J42" s="94">
        <f t="shared" si="4"/>
        <v>4130950</v>
      </c>
    </row>
    <row r="43" spans="2:7" ht="12.75">
      <c r="B43" s="2"/>
      <c r="C43" s="2"/>
      <c r="D43" s="2"/>
      <c r="E43" s="2"/>
      <c r="F43" s="2"/>
      <c r="G43" s="2"/>
    </row>
  </sheetData>
  <mergeCells count="9">
    <mergeCell ref="A42:B42"/>
    <mergeCell ref="A2:J2"/>
    <mergeCell ref="A4:J4"/>
    <mergeCell ref="A14:J14"/>
    <mergeCell ref="A24:J24"/>
    <mergeCell ref="A34:J34"/>
    <mergeCell ref="A12:B12"/>
    <mergeCell ref="A22:B22"/>
    <mergeCell ref="A32:B32"/>
  </mergeCells>
  <printOptions/>
  <pageMargins left="0.75" right="0.75" top="1" bottom="1" header="0.492125985" footer="0.49212598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zoomScale="75" zoomScaleNormal="75" workbookViewId="0" topLeftCell="A34">
      <selection activeCell="C49" sqref="C49"/>
    </sheetView>
  </sheetViews>
  <sheetFormatPr defaultColWidth="9.140625" defaultRowHeight="12.75"/>
  <cols>
    <col min="1" max="1" width="29.00390625" style="0" customWidth="1"/>
    <col min="2" max="2" width="28.421875" style="0" customWidth="1"/>
    <col min="3" max="3" width="62.00390625" style="0" customWidth="1"/>
    <col min="4" max="4" width="24.7109375" style="0" customWidth="1"/>
    <col min="5" max="5" width="26.8515625" style="0" customWidth="1"/>
    <col min="7" max="7" width="11.7109375" style="0" bestFit="1" customWidth="1"/>
    <col min="8" max="8" width="10.8515625" style="0" bestFit="1" customWidth="1"/>
  </cols>
  <sheetData>
    <row r="1" spans="2:5" s="1" customFormat="1" ht="15">
      <c r="B1" s="135" t="s">
        <v>86</v>
      </c>
      <c r="C1" s="126"/>
      <c r="D1" s="126"/>
      <c r="E1" s="127"/>
    </row>
    <row r="2" spans="2:5" s="1" customFormat="1" ht="15">
      <c r="B2" s="135" t="s">
        <v>91</v>
      </c>
      <c r="C2" s="126"/>
      <c r="D2" s="126"/>
      <c r="E2" s="127"/>
    </row>
    <row r="3" spans="2:5" s="2" customFormat="1" ht="18" customHeight="1">
      <c r="B3" s="135" t="s">
        <v>0</v>
      </c>
      <c r="C3" s="126"/>
      <c r="D3" s="126"/>
      <c r="E3" s="127"/>
    </row>
    <row r="4" spans="2:5" s="2" customFormat="1" ht="17.25" customHeight="1">
      <c r="B4" s="135" t="s">
        <v>1</v>
      </c>
      <c r="C4" s="126"/>
      <c r="D4" s="126"/>
      <c r="E4" s="127"/>
    </row>
    <row r="5" spans="2:5" s="2" customFormat="1" ht="17.25" customHeight="1">
      <c r="B5" s="135" t="s">
        <v>2</v>
      </c>
      <c r="C5" s="126"/>
      <c r="D5" s="126"/>
      <c r="E5" s="127"/>
    </row>
    <row r="6" spans="2:5" s="2" customFormat="1" ht="15.75" customHeight="1">
      <c r="B6" s="135" t="s">
        <v>3</v>
      </c>
      <c r="C6" s="126"/>
      <c r="D6" s="126"/>
      <c r="E6" s="127"/>
    </row>
    <row r="7" spans="2:5" s="2" customFormat="1" ht="17.25" customHeight="1">
      <c r="B7" s="128" t="s">
        <v>104</v>
      </c>
      <c r="C7" s="128"/>
      <c r="D7" s="128"/>
      <c r="E7" s="128"/>
    </row>
    <row r="8" spans="2:5" s="2" customFormat="1" ht="14.25" customHeight="1">
      <c r="B8" s="129" t="s">
        <v>160</v>
      </c>
      <c r="C8" s="129"/>
      <c r="D8" s="129"/>
      <c r="E8" s="129"/>
    </row>
    <row r="9" spans="2:5" s="2" customFormat="1" ht="14.25" customHeight="1">
      <c r="B9" s="150" t="s">
        <v>103</v>
      </c>
      <c r="C9" s="129"/>
      <c r="D9" s="129"/>
      <c r="E9" s="129"/>
    </row>
    <row r="10" spans="2:5" s="2" customFormat="1" ht="14.25" customHeight="1">
      <c r="B10" s="129" t="s">
        <v>161</v>
      </c>
      <c r="C10" s="129"/>
      <c r="D10" s="129"/>
      <c r="E10" s="129"/>
    </row>
    <row r="11" spans="2:5" s="2" customFormat="1" ht="14.25">
      <c r="B11" s="71" t="s">
        <v>99</v>
      </c>
      <c r="C11" s="73"/>
      <c r="D11" s="73"/>
      <c r="E11" s="72"/>
    </row>
    <row r="12" spans="2:5" s="2" customFormat="1" ht="14.25">
      <c r="B12" s="62" t="s">
        <v>100</v>
      </c>
      <c r="C12" s="73"/>
      <c r="D12" s="73"/>
      <c r="E12" s="63"/>
    </row>
    <row r="13" spans="2:5" s="2" customFormat="1" ht="14.25">
      <c r="B13" s="61" t="s">
        <v>118</v>
      </c>
      <c r="C13" s="62"/>
      <c r="D13" s="73"/>
      <c r="E13" s="63"/>
    </row>
    <row r="14" spans="2:5" s="2" customFormat="1" ht="14.25">
      <c r="B14" s="62" t="s">
        <v>101</v>
      </c>
      <c r="C14" s="73"/>
      <c r="D14" s="73"/>
      <c r="E14" s="63"/>
    </row>
    <row r="15" spans="2:5" s="2" customFormat="1" ht="14.25">
      <c r="B15" s="62" t="s">
        <v>162</v>
      </c>
      <c r="C15" s="73"/>
      <c r="D15" s="73"/>
      <c r="E15" s="63"/>
    </row>
    <row r="16" spans="2:5" s="2" customFormat="1" ht="15" thickBot="1">
      <c r="B16" s="76"/>
      <c r="C16" s="76"/>
      <c r="D16" s="76"/>
      <c r="E16" s="76"/>
    </row>
    <row r="17" spans="1:5" s="5" customFormat="1" ht="15">
      <c r="A17" s="133"/>
      <c r="B17" s="134"/>
      <c r="C17" s="134"/>
      <c r="D17" s="134"/>
      <c r="E17" s="4"/>
    </row>
    <row r="18" spans="1:5" s="5" customFormat="1" ht="15.75" thickBot="1">
      <c r="A18" s="148" t="s">
        <v>105</v>
      </c>
      <c r="B18" s="149"/>
      <c r="C18" s="149"/>
      <c r="D18" s="149"/>
      <c r="E18" s="77"/>
    </row>
    <row r="19" spans="1:5" s="5" customFormat="1" ht="15.75" thickBot="1">
      <c r="A19" s="130" t="s">
        <v>4</v>
      </c>
      <c r="B19" s="144"/>
      <c r="C19" s="144"/>
      <c r="D19" s="144"/>
      <c r="E19" s="6"/>
    </row>
    <row r="20" spans="1:4" s="2" customFormat="1" ht="12.75">
      <c r="A20" s="7"/>
      <c r="B20" s="8"/>
      <c r="C20" s="9"/>
      <c r="D20" s="9"/>
    </row>
    <row r="21" spans="1:5" s="10" customFormat="1" ht="20.25" customHeight="1">
      <c r="A21" s="145" t="s">
        <v>5</v>
      </c>
      <c r="B21" s="145" t="s">
        <v>6</v>
      </c>
      <c r="C21" s="145" t="s">
        <v>7</v>
      </c>
      <c r="D21" s="145" t="s">
        <v>8</v>
      </c>
      <c r="E21" s="145" t="s">
        <v>9</v>
      </c>
    </row>
    <row r="22" spans="1:5" s="10" customFormat="1" ht="36" customHeight="1" thickBot="1">
      <c r="A22" s="146"/>
      <c r="B22" s="146"/>
      <c r="C22" s="147"/>
      <c r="D22" s="147"/>
      <c r="E22" s="164"/>
    </row>
    <row r="23" spans="1:5" s="2" customFormat="1" ht="61.5" customHeight="1" thickTop="1">
      <c r="A23" s="151" t="s">
        <v>102</v>
      </c>
      <c r="B23" s="153" t="s">
        <v>163</v>
      </c>
      <c r="C23" s="104" t="s">
        <v>154</v>
      </c>
      <c r="D23" s="104" t="s">
        <v>119</v>
      </c>
      <c r="E23" s="12">
        <f>31500+10000+1900+2800</f>
        <v>46200</v>
      </c>
    </row>
    <row r="24" spans="1:5" s="2" customFormat="1" ht="12.75">
      <c r="A24" s="152"/>
      <c r="B24" s="154"/>
      <c r="C24" s="155" t="s">
        <v>11</v>
      </c>
      <c r="D24" s="155"/>
      <c r="E24" s="23">
        <f>SUM(E20:E23)</f>
        <v>46200</v>
      </c>
    </row>
    <row r="25" spans="1:5" s="2" customFormat="1" ht="38.25">
      <c r="A25" s="152"/>
      <c r="B25" s="154"/>
      <c r="C25" s="104" t="s">
        <v>120</v>
      </c>
      <c r="D25" s="104" t="s">
        <v>121</v>
      </c>
      <c r="E25" s="18">
        <f>111000+1640+18350</f>
        <v>130990</v>
      </c>
    </row>
    <row r="26" spans="1:5" s="2" customFormat="1" ht="12.75" customHeight="1">
      <c r="A26" s="152"/>
      <c r="B26" s="154"/>
      <c r="C26" s="155" t="s">
        <v>150</v>
      </c>
      <c r="D26" s="155"/>
      <c r="E26" s="23">
        <f>SUM(E25)</f>
        <v>130990</v>
      </c>
    </row>
    <row r="27" spans="1:5" s="2" customFormat="1" ht="38.25">
      <c r="A27" s="152"/>
      <c r="B27" s="154"/>
      <c r="C27" s="104" t="s">
        <v>155</v>
      </c>
      <c r="D27" s="104" t="s">
        <v>121</v>
      </c>
      <c r="E27" s="19">
        <f>45000+1640+10350</f>
        <v>56990</v>
      </c>
    </row>
    <row r="28" spans="1:5" s="2" customFormat="1" ht="12.75" customHeight="1">
      <c r="A28" s="152"/>
      <c r="B28" s="154"/>
      <c r="C28" s="155" t="s">
        <v>151</v>
      </c>
      <c r="D28" s="155"/>
      <c r="E28" s="20">
        <f>SUM(E27)</f>
        <v>56990</v>
      </c>
    </row>
    <row r="29" spans="1:5" s="2" customFormat="1" ht="64.5" customHeight="1">
      <c r="A29" s="152"/>
      <c r="B29" s="156" t="s">
        <v>12</v>
      </c>
      <c r="C29" s="14" t="s">
        <v>124</v>
      </c>
      <c r="D29" s="15" t="s">
        <v>123</v>
      </c>
      <c r="E29" s="16">
        <f>21000+9000+8000</f>
        <v>38000</v>
      </c>
    </row>
    <row r="30" spans="1:5" s="2" customFormat="1" ht="12.75">
      <c r="A30" s="152"/>
      <c r="B30" s="154"/>
      <c r="C30" s="158" t="s">
        <v>13</v>
      </c>
      <c r="D30" s="159"/>
      <c r="E30" s="23">
        <f>SUM(E29:E29)</f>
        <v>38000</v>
      </c>
    </row>
    <row r="31" spans="1:5" s="2" customFormat="1" ht="63.75">
      <c r="A31" s="152"/>
      <c r="B31" s="154"/>
      <c r="C31" s="14" t="s">
        <v>125</v>
      </c>
      <c r="D31" s="15" t="s">
        <v>92</v>
      </c>
      <c r="E31" s="16">
        <f>61000+45000+19000</f>
        <v>125000</v>
      </c>
    </row>
    <row r="32" spans="1:5" s="2" customFormat="1" ht="12.75">
      <c r="A32" s="152"/>
      <c r="B32" s="154"/>
      <c r="C32" s="158" t="s">
        <v>14</v>
      </c>
      <c r="D32" s="159"/>
      <c r="E32" s="23">
        <f>SUM(E31:E31)</f>
        <v>125000</v>
      </c>
    </row>
    <row r="33" spans="1:5" s="2" customFormat="1" ht="63.75">
      <c r="A33" s="152"/>
      <c r="B33" s="154"/>
      <c r="C33" s="14" t="s">
        <v>122</v>
      </c>
      <c r="D33" s="15" t="s">
        <v>92</v>
      </c>
      <c r="E33" s="16">
        <f>41000+22000+16000</f>
        <v>79000</v>
      </c>
    </row>
    <row r="34" spans="1:5" s="2" customFormat="1" ht="12.75">
      <c r="A34" s="152"/>
      <c r="B34" s="157"/>
      <c r="C34" s="158" t="s">
        <v>15</v>
      </c>
      <c r="D34" s="159"/>
      <c r="E34" s="23">
        <f>SUM(E33:E33)</f>
        <v>79000</v>
      </c>
    </row>
    <row r="35" spans="1:5" s="2" customFormat="1" ht="25.5">
      <c r="A35" s="152"/>
      <c r="B35" s="154" t="s">
        <v>126</v>
      </c>
      <c r="C35" s="14" t="s">
        <v>129</v>
      </c>
      <c r="D35" s="11" t="s">
        <v>93</v>
      </c>
      <c r="E35" s="22">
        <f>50000+5000</f>
        <v>55000</v>
      </c>
    </row>
    <row r="36" spans="1:5" s="2" customFormat="1" ht="12.75">
      <c r="A36" s="152"/>
      <c r="B36" s="154"/>
      <c r="C36" s="158" t="s">
        <v>144</v>
      </c>
      <c r="D36" s="159"/>
      <c r="E36" s="23">
        <f>SUM(E35)</f>
        <v>55000</v>
      </c>
    </row>
    <row r="37" spans="1:5" s="2" customFormat="1" ht="12.75" customHeight="1">
      <c r="A37" s="152"/>
      <c r="B37" s="160"/>
      <c r="C37" s="160" t="s">
        <v>127</v>
      </c>
      <c r="D37" s="167" t="s">
        <v>94</v>
      </c>
      <c r="E37" s="162">
        <f>80000+10000</f>
        <v>90000</v>
      </c>
    </row>
    <row r="38" spans="1:5" s="2" customFormat="1" ht="12.75">
      <c r="A38" s="152"/>
      <c r="B38" s="160"/>
      <c r="C38" s="165"/>
      <c r="D38" s="160"/>
      <c r="E38" s="162"/>
    </row>
    <row r="39" spans="1:5" s="2" customFormat="1" ht="15.75" customHeight="1">
      <c r="A39" s="152"/>
      <c r="B39" s="160"/>
      <c r="C39" s="165"/>
      <c r="D39" s="160"/>
      <c r="E39" s="162"/>
    </row>
    <row r="40" spans="1:5" s="2" customFormat="1" ht="12.75">
      <c r="A40" s="152"/>
      <c r="B40" s="160"/>
      <c r="C40" s="166"/>
      <c r="D40" s="161"/>
      <c r="E40" s="162"/>
    </row>
    <row r="41" spans="1:5" s="2" customFormat="1" ht="12.75">
      <c r="A41" s="152"/>
      <c r="B41" s="160"/>
      <c r="C41" s="158" t="s">
        <v>16</v>
      </c>
      <c r="D41" s="163"/>
      <c r="E41" s="13">
        <f>SUM(E37)</f>
        <v>90000</v>
      </c>
    </row>
    <row r="42" spans="1:5" s="2" customFormat="1" ht="25.5">
      <c r="A42" s="152"/>
      <c r="B42" s="160"/>
      <c r="C42" s="14" t="s">
        <v>127</v>
      </c>
      <c r="D42" s="11" t="s">
        <v>128</v>
      </c>
      <c r="E42" s="98">
        <f>80000+5000</f>
        <v>85000</v>
      </c>
    </row>
    <row r="43" spans="1:5" s="2" customFormat="1" ht="13.5" thickBot="1">
      <c r="A43" s="152"/>
      <c r="B43" s="161"/>
      <c r="C43" s="158" t="s">
        <v>17</v>
      </c>
      <c r="D43" s="159"/>
      <c r="E43" s="13">
        <f>SUM(E42)</f>
        <v>85000</v>
      </c>
    </row>
    <row r="44" spans="1:5" s="2" customFormat="1" ht="13.5" thickTop="1">
      <c r="A44" s="168" t="s">
        <v>18</v>
      </c>
      <c r="B44" s="169"/>
      <c r="C44" s="169"/>
      <c r="D44" s="170"/>
      <c r="E44" s="24">
        <f>SUM(E23:E43)/2</f>
        <v>706180</v>
      </c>
    </row>
    <row r="45" spans="1:5" s="26" customFormat="1" ht="12.75">
      <c r="A45" s="171" t="s">
        <v>98</v>
      </c>
      <c r="B45" s="171" t="s">
        <v>133</v>
      </c>
      <c r="C45" s="171" t="s">
        <v>19</v>
      </c>
      <c r="D45" s="171" t="s">
        <v>8</v>
      </c>
      <c r="E45" s="171" t="s">
        <v>20</v>
      </c>
    </row>
    <row r="46" spans="1:5" s="26" customFormat="1" ht="12.75">
      <c r="A46" s="171"/>
      <c r="B46" s="171"/>
      <c r="C46" s="145"/>
      <c r="D46" s="145"/>
      <c r="E46" s="145"/>
    </row>
    <row r="47" spans="1:5" s="2" customFormat="1" ht="25.5">
      <c r="A47" s="172" t="s">
        <v>131</v>
      </c>
      <c r="B47" s="174" t="s">
        <v>132</v>
      </c>
      <c r="C47" s="11" t="s">
        <v>22</v>
      </c>
      <c r="D47" s="103" t="s">
        <v>128</v>
      </c>
      <c r="E47" s="16">
        <f>55000+2000</f>
        <v>57000</v>
      </c>
    </row>
    <row r="48" spans="1:5" s="2" customFormat="1" ht="25.5">
      <c r="A48" s="152"/>
      <c r="B48" s="174"/>
      <c r="C48" s="14" t="s">
        <v>169</v>
      </c>
      <c r="D48" s="105" t="s">
        <v>128</v>
      </c>
      <c r="E48" s="18">
        <f>90000+2000</f>
        <v>92000</v>
      </c>
    </row>
    <row r="49" spans="1:5" s="2" customFormat="1" ht="12.75">
      <c r="A49" s="152"/>
      <c r="B49" s="174"/>
      <c r="C49" s="21" t="s">
        <v>149</v>
      </c>
      <c r="D49" s="106" t="s">
        <v>23</v>
      </c>
      <c r="E49" s="19">
        <f>15000</f>
        <v>15000</v>
      </c>
    </row>
    <row r="50" spans="1:5" s="2" customFormat="1" ht="12.75">
      <c r="A50" s="152"/>
      <c r="B50" s="154"/>
      <c r="C50" s="175" t="s">
        <v>24</v>
      </c>
      <c r="D50" s="176"/>
      <c r="E50" s="20">
        <f>SUM(E47:E49)</f>
        <v>164000</v>
      </c>
    </row>
    <row r="51" spans="1:5" s="2" customFormat="1" ht="25.5">
      <c r="A51" s="152"/>
      <c r="B51" s="154"/>
      <c r="C51" s="17" t="s">
        <v>117</v>
      </c>
      <c r="D51" s="11" t="s">
        <v>128</v>
      </c>
      <c r="E51" s="27">
        <f>85000+3000</f>
        <v>88000</v>
      </c>
    </row>
    <row r="52" spans="1:5" s="2" customFormat="1" ht="25.5">
      <c r="A52" s="152"/>
      <c r="B52" s="154"/>
      <c r="C52" s="17" t="s">
        <v>22</v>
      </c>
      <c r="D52" s="14" t="s">
        <v>128</v>
      </c>
      <c r="E52" s="28">
        <f>108040+8000</f>
        <v>116040</v>
      </c>
    </row>
    <row r="53" spans="1:5" s="2" customFormat="1" ht="12.75">
      <c r="A53" s="152"/>
      <c r="B53" s="154"/>
      <c r="C53" s="21" t="s">
        <v>149</v>
      </c>
      <c r="D53" s="14" t="s">
        <v>23</v>
      </c>
      <c r="E53" s="28">
        <f>20000</f>
        <v>20000</v>
      </c>
    </row>
    <row r="54" spans="1:5" s="2" customFormat="1" ht="25.5">
      <c r="A54" s="152"/>
      <c r="B54" s="154"/>
      <c r="C54" s="17" t="s">
        <v>25</v>
      </c>
      <c r="D54" s="21" t="s">
        <v>21</v>
      </c>
      <c r="E54" s="28">
        <f>50000</f>
        <v>50000</v>
      </c>
    </row>
    <row r="55" spans="1:5" s="2" customFormat="1" ht="12.75">
      <c r="A55" s="152"/>
      <c r="B55" s="154"/>
      <c r="C55" s="158" t="s">
        <v>26</v>
      </c>
      <c r="D55" s="177"/>
      <c r="E55" s="23">
        <f>SUM(E51:E54)</f>
        <v>274040</v>
      </c>
    </row>
    <row r="56" spans="1:5" s="2" customFormat="1" ht="12.75">
      <c r="A56" s="152"/>
      <c r="B56" s="160"/>
      <c r="C56" s="17" t="s">
        <v>22</v>
      </c>
      <c r="D56" s="11" t="s">
        <v>10</v>
      </c>
      <c r="E56" s="28">
        <f>74200+1000</f>
        <v>75200</v>
      </c>
    </row>
    <row r="57" spans="1:5" s="2" customFormat="1" ht="12.75">
      <c r="A57" s="152"/>
      <c r="B57" s="160"/>
      <c r="C57" s="21" t="s">
        <v>149</v>
      </c>
      <c r="D57" s="14" t="s">
        <v>23</v>
      </c>
      <c r="E57" s="28">
        <f>20000</f>
        <v>20000</v>
      </c>
    </row>
    <row r="58" spans="1:5" s="2" customFormat="1" ht="13.5" thickBot="1">
      <c r="A58" s="173"/>
      <c r="B58" s="161"/>
      <c r="C58" s="158" t="s">
        <v>27</v>
      </c>
      <c r="D58" s="159"/>
      <c r="E58" s="23">
        <f>SUM(E56:E57)</f>
        <v>95200</v>
      </c>
    </row>
    <row r="59" spans="1:6" s="2" customFormat="1" ht="13.5" thickTop="1">
      <c r="A59" s="168" t="s">
        <v>28</v>
      </c>
      <c r="B59" s="169"/>
      <c r="C59" s="169"/>
      <c r="D59" s="170"/>
      <c r="E59" s="29">
        <f>SUM(E47:E58)/2</f>
        <v>533240</v>
      </c>
      <c r="F59" s="10"/>
    </row>
    <row r="60" spans="1:5" s="10" customFormat="1" ht="20.25" customHeight="1">
      <c r="A60" s="171" t="s">
        <v>29</v>
      </c>
      <c r="B60" s="171" t="s">
        <v>30</v>
      </c>
      <c r="C60" s="171" t="s">
        <v>31</v>
      </c>
      <c r="D60" s="171" t="s">
        <v>8</v>
      </c>
      <c r="E60" s="171" t="s">
        <v>9</v>
      </c>
    </row>
    <row r="61" spans="1:5" s="10" customFormat="1" ht="36" customHeight="1">
      <c r="A61" s="171"/>
      <c r="B61" s="171"/>
      <c r="C61" s="171"/>
      <c r="D61" s="171"/>
      <c r="E61" s="145"/>
    </row>
    <row r="62" spans="1:5" s="2" customFormat="1" ht="38.25">
      <c r="A62" s="152" t="s">
        <v>134</v>
      </c>
      <c r="B62" s="156" t="s">
        <v>135</v>
      </c>
      <c r="C62" s="17" t="s">
        <v>137</v>
      </c>
      <c r="D62" s="17" t="s">
        <v>139</v>
      </c>
      <c r="E62" s="12">
        <f>645530+14000</f>
        <v>659530</v>
      </c>
    </row>
    <row r="63" spans="1:5" s="2" customFormat="1" ht="12.75">
      <c r="A63" s="152"/>
      <c r="B63" s="154"/>
      <c r="C63" s="158" t="s">
        <v>32</v>
      </c>
      <c r="D63" s="181"/>
      <c r="E63" s="23">
        <f>SUM(E62:E62)</f>
        <v>659530</v>
      </c>
    </row>
    <row r="64" spans="1:5" s="2" customFormat="1" ht="38.25">
      <c r="A64" s="152"/>
      <c r="B64" s="154"/>
      <c r="C64" s="17" t="s">
        <v>138</v>
      </c>
      <c r="D64" s="17" t="s">
        <v>139</v>
      </c>
      <c r="E64" s="18">
        <f>1969610+37000</f>
        <v>2006610</v>
      </c>
    </row>
    <row r="65" spans="1:5" s="2" customFormat="1" ht="12.75">
      <c r="A65" s="152"/>
      <c r="B65" s="154"/>
      <c r="C65" s="158" t="s">
        <v>33</v>
      </c>
      <c r="D65" s="181"/>
      <c r="E65" s="23">
        <f>E64</f>
        <v>2006610</v>
      </c>
    </row>
    <row r="66" spans="1:5" s="2" customFormat="1" ht="25.5">
      <c r="A66" s="152"/>
      <c r="B66" s="154"/>
      <c r="C66" s="17" t="s">
        <v>140</v>
      </c>
      <c r="D66" s="17" t="s">
        <v>141</v>
      </c>
      <c r="E66" s="18">
        <f>27000</f>
        <v>27000</v>
      </c>
    </row>
    <row r="67" spans="1:5" s="2" customFormat="1" ht="12.75">
      <c r="A67" s="152"/>
      <c r="B67" s="157"/>
      <c r="C67" s="158" t="s">
        <v>34</v>
      </c>
      <c r="D67" s="181"/>
      <c r="E67" s="23">
        <f>E66</f>
        <v>27000</v>
      </c>
    </row>
    <row r="68" spans="1:5" s="2" customFormat="1" ht="25.5" customHeight="1">
      <c r="A68" s="152"/>
      <c r="B68" s="156" t="s">
        <v>153</v>
      </c>
      <c r="C68" s="14" t="s">
        <v>152</v>
      </c>
      <c r="D68" s="17" t="s">
        <v>95</v>
      </c>
      <c r="E68" s="18">
        <f>34000+5000</f>
        <v>39000</v>
      </c>
    </row>
    <row r="69" spans="1:5" s="2" customFormat="1" ht="12.75" customHeight="1">
      <c r="A69" s="152"/>
      <c r="B69" s="154"/>
      <c r="C69" s="158" t="s">
        <v>35</v>
      </c>
      <c r="D69" s="181"/>
      <c r="E69" s="23">
        <f>SUM(E68)</f>
        <v>39000</v>
      </c>
    </row>
    <row r="70" spans="1:5" s="2" customFormat="1" ht="25.5">
      <c r="A70" s="152"/>
      <c r="B70" s="154"/>
      <c r="C70" s="14" t="s">
        <v>152</v>
      </c>
      <c r="D70" s="17" t="s">
        <v>95</v>
      </c>
      <c r="E70" s="18">
        <f>34000+5000</f>
        <v>39000</v>
      </c>
    </row>
    <row r="71" spans="1:5" s="2" customFormat="1" ht="25.5">
      <c r="A71" s="152"/>
      <c r="B71" s="154"/>
      <c r="C71" s="17" t="s">
        <v>143</v>
      </c>
      <c r="D71" s="17" t="s">
        <v>95</v>
      </c>
      <c r="E71" s="18">
        <f>77390+3000</f>
        <v>80390</v>
      </c>
    </row>
    <row r="72" spans="1:5" s="2" customFormat="1" ht="12.75" customHeight="1">
      <c r="A72" s="152"/>
      <c r="B72" s="157"/>
      <c r="C72" s="158" t="s">
        <v>142</v>
      </c>
      <c r="D72" s="181"/>
      <c r="E72" s="23">
        <f>SUM(E70:E71)</f>
        <v>119390</v>
      </c>
    </row>
    <row r="73" spans="1:5" s="2" customFormat="1" ht="12.75">
      <c r="A73" s="152"/>
      <c r="B73" s="184" t="s">
        <v>136</v>
      </c>
      <c r="C73" s="17" t="s">
        <v>38</v>
      </c>
      <c r="D73" s="11" t="s">
        <v>97</v>
      </c>
      <c r="E73" s="16">
        <v>20000</v>
      </c>
    </row>
    <row r="74" spans="1:5" s="2" customFormat="1" ht="13.5" thickBot="1">
      <c r="A74" s="152"/>
      <c r="B74" s="185"/>
      <c r="C74" s="158" t="s">
        <v>36</v>
      </c>
      <c r="D74" s="181"/>
      <c r="E74" s="108">
        <f>E73</f>
        <v>20000</v>
      </c>
    </row>
    <row r="75" spans="1:5" s="2" customFormat="1" ht="13.5" thickTop="1">
      <c r="A75" s="152"/>
      <c r="B75" s="185"/>
      <c r="C75" s="17" t="s">
        <v>75</v>
      </c>
      <c r="D75" s="11" t="s">
        <v>96</v>
      </c>
      <c r="E75" s="12">
        <v>20000</v>
      </c>
    </row>
    <row r="76" spans="1:5" s="2" customFormat="1" ht="13.5" thickBot="1">
      <c r="A76" s="173"/>
      <c r="B76" s="186"/>
      <c r="C76" s="182" t="s">
        <v>37</v>
      </c>
      <c r="D76" s="183"/>
      <c r="E76" s="108">
        <f>E75</f>
        <v>20000</v>
      </c>
    </row>
    <row r="77" spans="1:5" s="2" customFormat="1" ht="13.5" thickTop="1">
      <c r="A77" s="187" t="s">
        <v>39</v>
      </c>
      <c r="B77" s="188"/>
      <c r="C77" s="188"/>
      <c r="D77" s="189"/>
      <c r="E77" s="24">
        <f>SUM(E62:E76)/2</f>
        <v>2891530</v>
      </c>
    </row>
    <row r="78" spans="1:8" s="2" customFormat="1" ht="12.75">
      <c r="A78" s="30"/>
      <c r="B78" s="31"/>
      <c r="C78" s="31"/>
      <c r="D78" s="32" t="s">
        <v>40</v>
      </c>
      <c r="E78" s="33">
        <f>E24+E30+E36+E50+E63</f>
        <v>962730</v>
      </c>
      <c r="G78" s="50"/>
      <c r="H78" s="52"/>
    </row>
    <row r="79" spans="1:8" s="2" customFormat="1" ht="12.75">
      <c r="A79" s="30"/>
      <c r="B79" s="31"/>
      <c r="C79" s="31"/>
      <c r="D79" s="32" t="s">
        <v>41</v>
      </c>
      <c r="E79" s="33">
        <f>E26+E32+E41+E55+E65+E69+E74</f>
        <v>2685640</v>
      </c>
      <c r="G79" s="50"/>
      <c r="H79" s="52"/>
    </row>
    <row r="80" spans="1:8" s="2" customFormat="1" ht="12.75">
      <c r="A80" s="30"/>
      <c r="B80" s="31"/>
      <c r="C80" s="31"/>
      <c r="D80" s="32" t="s">
        <v>42</v>
      </c>
      <c r="E80" s="33">
        <f>E28+E34+E43+E58+E67+E72+E76</f>
        <v>482580</v>
      </c>
      <c r="G80" s="50"/>
      <c r="H80" s="52"/>
    </row>
    <row r="81" spans="1:8" s="2" customFormat="1" ht="12.75">
      <c r="A81" s="30"/>
      <c r="B81" s="31"/>
      <c r="C81" s="31"/>
      <c r="D81" s="34" t="s">
        <v>43</v>
      </c>
      <c r="E81" s="35">
        <f>SUM(E78:E80)</f>
        <v>4130950</v>
      </c>
      <c r="G81" s="50"/>
      <c r="H81" s="52"/>
    </row>
    <row r="82" spans="1:7" s="37" customFormat="1" ht="13.5" thickBot="1">
      <c r="A82" s="190" t="s">
        <v>44</v>
      </c>
      <c r="B82" s="191"/>
      <c r="C82" s="191"/>
      <c r="D82" s="192"/>
      <c r="E82" s="36">
        <f>E81*5%</f>
        <v>206547.5</v>
      </c>
      <c r="G82" s="50"/>
    </row>
    <row r="83" spans="1:8" ht="14.25" thickBot="1" thickTop="1">
      <c r="A83" s="178" t="s">
        <v>45</v>
      </c>
      <c r="B83" s="179"/>
      <c r="C83" s="179"/>
      <c r="D83" s="180"/>
      <c r="E83" s="38">
        <f>E81+E82</f>
        <v>4337497.5</v>
      </c>
      <c r="G83" s="51"/>
      <c r="H83" s="50"/>
    </row>
    <row r="84" ht="13.5" thickTop="1"/>
    <row r="85" spans="4:5" ht="12.75">
      <c r="D85" s="1"/>
      <c r="E85" s="51"/>
    </row>
    <row r="87" ht="12.75">
      <c r="E87" s="50"/>
    </row>
  </sheetData>
  <mergeCells count="65">
    <mergeCell ref="A62:A76"/>
    <mergeCell ref="C65:D65"/>
    <mergeCell ref="A77:D77"/>
    <mergeCell ref="A82:D82"/>
    <mergeCell ref="A83:D83"/>
    <mergeCell ref="B62:B67"/>
    <mergeCell ref="C63:D63"/>
    <mergeCell ref="C67:D67"/>
    <mergeCell ref="C76:D76"/>
    <mergeCell ref="C74:D74"/>
    <mergeCell ref="B73:B76"/>
    <mergeCell ref="C72:D72"/>
    <mergeCell ref="B68:B72"/>
    <mergeCell ref="C69:D69"/>
    <mergeCell ref="E60:E61"/>
    <mergeCell ref="A59:D59"/>
    <mergeCell ref="A60:A61"/>
    <mergeCell ref="B60:B61"/>
    <mergeCell ref="C60:C61"/>
    <mergeCell ref="D60:D61"/>
    <mergeCell ref="E45:E46"/>
    <mergeCell ref="A47:A58"/>
    <mergeCell ref="B47:B58"/>
    <mergeCell ref="C50:D50"/>
    <mergeCell ref="C55:D55"/>
    <mergeCell ref="C58:D58"/>
    <mergeCell ref="A44:D44"/>
    <mergeCell ref="A45:A46"/>
    <mergeCell ref="B45:B46"/>
    <mergeCell ref="C45:C46"/>
    <mergeCell ref="D45:D46"/>
    <mergeCell ref="E21:E22"/>
    <mergeCell ref="C37:C40"/>
    <mergeCell ref="D37:D40"/>
    <mergeCell ref="C26:D26"/>
    <mergeCell ref="C28:D28"/>
    <mergeCell ref="B35:B43"/>
    <mergeCell ref="E37:E40"/>
    <mergeCell ref="C43:D43"/>
    <mergeCell ref="C36:D36"/>
    <mergeCell ref="C41:D41"/>
    <mergeCell ref="A18:D18"/>
    <mergeCell ref="B9:E9"/>
    <mergeCell ref="B10:E10"/>
    <mergeCell ref="A23:A43"/>
    <mergeCell ref="B23:B28"/>
    <mergeCell ref="C24:D24"/>
    <mergeCell ref="B29:B34"/>
    <mergeCell ref="C30:D30"/>
    <mergeCell ref="C32:D32"/>
    <mergeCell ref="C34:D34"/>
    <mergeCell ref="A19:D19"/>
    <mergeCell ref="A21:A22"/>
    <mergeCell ref="B21:B22"/>
    <mergeCell ref="C21:C22"/>
    <mergeCell ref="D21:D22"/>
    <mergeCell ref="A17:D17"/>
    <mergeCell ref="B5:E5"/>
    <mergeCell ref="B6:E6"/>
    <mergeCell ref="B1:E1"/>
    <mergeCell ref="B2:E2"/>
    <mergeCell ref="B3:E3"/>
    <mergeCell ref="B4:E4"/>
    <mergeCell ref="B7:E7"/>
    <mergeCell ref="B8:E8"/>
  </mergeCells>
  <printOptions/>
  <pageMargins left="0.75" right="0.75" top="1" bottom="1" header="0.492125985" footer="0.492125985"/>
  <pageSetup horizontalDpi="600" verticalDpi="600" orientation="landscape" paperSize="9" scale="70" r:id="rId2"/>
  <headerFooter alignWithMargins="0">
    <oddHeader>&amp;RMATRIZ DE RESULTADOS E RECURSOS DO PROJETO -  &amp;D</oddHeader>
    <oddFooter>&amp;LPágina &amp;P de &amp;N; Arquivo: 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9"/>
  <sheetViews>
    <sheetView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24.7109375" style="7" customWidth="1"/>
    <col min="2" max="2" width="40.00390625" style="7" customWidth="1"/>
    <col min="3" max="6" width="5.7109375" style="7" customWidth="1"/>
    <col min="7" max="7" width="11.7109375" style="7" customWidth="1"/>
    <col min="8" max="8" width="12.7109375" style="7" customWidth="1"/>
    <col min="9" max="9" width="13.7109375" style="43" customWidth="1"/>
    <col min="10" max="10" width="11.57421875" style="7" customWidth="1"/>
    <col min="11" max="11" width="16.57421875" style="7" customWidth="1"/>
    <col min="12" max="12" width="12.28125" style="7" customWidth="1"/>
    <col min="13" max="13" width="14.8515625" style="7" customWidth="1"/>
    <col min="14" max="18" width="9.140625" style="7" hidden="1" customWidth="1"/>
    <col min="19" max="19" width="19.28125" style="7" customWidth="1"/>
    <col min="20" max="16384" width="9.140625" style="7" customWidth="1"/>
  </cols>
  <sheetData>
    <row r="1" spans="2:9" ht="12.75">
      <c r="B1" s="39"/>
      <c r="C1" s="40"/>
      <c r="D1" s="3"/>
      <c r="E1" s="40"/>
      <c r="F1" s="40"/>
      <c r="G1" s="40"/>
      <c r="H1" s="40"/>
      <c r="I1" s="117"/>
    </row>
    <row r="2" spans="2:9" ht="12.75">
      <c r="B2" s="39"/>
      <c r="C2" s="40"/>
      <c r="D2" s="3"/>
      <c r="E2" s="40"/>
      <c r="F2" s="40"/>
      <c r="G2" s="40"/>
      <c r="H2" s="40"/>
      <c r="I2" s="117"/>
    </row>
    <row r="3" spans="2:9" ht="12.75">
      <c r="B3" s="39"/>
      <c r="C3" s="40"/>
      <c r="D3" s="3"/>
      <c r="E3" s="40"/>
      <c r="F3" s="40"/>
      <c r="G3" s="40"/>
      <c r="H3" s="40"/>
      <c r="I3" s="117"/>
    </row>
    <row r="4" spans="2:19" ht="15">
      <c r="B4" s="217" t="s">
        <v>46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9"/>
    </row>
    <row r="5" spans="2:19" ht="15">
      <c r="B5" s="128" t="s">
        <v>87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</row>
    <row r="6" spans="2:19" ht="15">
      <c r="B6" s="128" t="s">
        <v>90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7" spans="2:19" ht="12.75">
      <c r="B7" s="220" t="s">
        <v>47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199"/>
    </row>
    <row r="8" spans="2:19" ht="12.75">
      <c r="B8" s="174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00"/>
    </row>
    <row r="9" spans="2:19" ht="12.75"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01"/>
    </row>
    <row r="10" spans="2:19" ht="12.75">
      <c r="B10" s="75"/>
      <c r="C10" s="75"/>
      <c r="D10" s="75"/>
      <c r="E10" s="75"/>
      <c r="F10" s="75"/>
      <c r="G10" s="75"/>
      <c r="H10" s="75"/>
      <c r="I10" s="114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2:19" ht="12.75">
      <c r="B11" s="75"/>
      <c r="C11" s="75"/>
      <c r="D11" s="75"/>
      <c r="E11" s="75"/>
      <c r="F11" s="75"/>
      <c r="G11" s="75"/>
      <c r="H11" s="75"/>
      <c r="I11" s="114"/>
      <c r="J11" s="75"/>
      <c r="K11" s="75"/>
      <c r="L11" s="75"/>
      <c r="M11" s="75"/>
      <c r="N11" s="75"/>
      <c r="O11" s="75"/>
      <c r="P11" s="75"/>
      <c r="Q11" s="75"/>
      <c r="R11" s="75"/>
      <c r="S11" s="75"/>
    </row>
    <row r="12" spans="2:19" ht="12.75"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19" s="2" customFormat="1" ht="15" customHeight="1">
      <c r="A13" s="171" t="s">
        <v>48</v>
      </c>
      <c r="B13" s="145" t="s">
        <v>49</v>
      </c>
      <c r="C13" s="205" t="s">
        <v>50</v>
      </c>
      <c r="D13" s="206"/>
      <c r="E13" s="206"/>
      <c r="F13" s="207"/>
      <c r="G13" s="208" t="s">
        <v>51</v>
      </c>
      <c r="H13" s="211" t="s">
        <v>52</v>
      </c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3"/>
    </row>
    <row r="14" spans="1:19" s="2" customFormat="1" ht="38.25" customHeight="1">
      <c r="A14" s="145"/>
      <c r="B14" s="164"/>
      <c r="C14" s="25" t="s">
        <v>53</v>
      </c>
      <c r="D14" s="25" t="s">
        <v>54</v>
      </c>
      <c r="E14" s="25" t="s">
        <v>55</v>
      </c>
      <c r="F14" s="25" t="s">
        <v>56</v>
      </c>
      <c r="G14" s="209"/>
      <c r="H14" s="41" t="s">
        <v>57</v>
      </c>
      <c r="I14" s="41" t="s">
        <v>58</v>
      </c>
      <c r="J14" s="42" t="s">
        <v>59</v>
      </c>
      <c r="K14" s="41" t="s">
        <v>60</v>
      </c>
      <c r="L14" s="42" t="s">
        <v>61</v>
      </c>
      <c r="M14" s="41" t="s">
        <v>60</v>
      </c>
      <c r="N14" s="82"/>
      <c r="O14" s="82"/>
      <c r="P14" s="82"/>
      <c r="Q14" s="82"/>
      <c r="R14" s="82"/>
      <c r="S14" s="41" t="s">
        <v>62</v>
      </c>
    </row>
    <row r="15" spans="1:19" s="2" customFormat="1" ht="12.75" customHeight="1">
      <c r="A15" s="199" t="s">
        <v>163</v>
      </c>
      <c r="B15" s="203" t="s">
        <v>76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</row>
    <row r="16" spans="1:19" s="2" customFormat="1" ht="22.5">
      <c r="A16" s="200"/>
      <c r="B16" s="215" t="s">
        <v>168</v>
      </c>
      <c r="C16" s="156"/>
      <c r="D16" s="156"/>
      <c r="E16" s="156" t="s">
        <v>63</v>
      </c>
      <c r="F16" s="156" t="s">
        <v>63</v>
      </c>
      <c r="G16" s="194" t="s">
        <v>64</v>
      </c>
      <c r="H16" s="44" t="s">
        <v>89</v>
      </c>
      <c r="I16" s="45" t="s">
        <v>88</v>
      </c>
      <c r="J16" s="46" t="s">
        <v>65</v>
      </c>
      <c r="K16" s="56">
        <v>20500</v>
      </c>
      <c r="L16" s="45" t="s">
        <v>84</v>
      </c>
      <c r="M16" s="56">
        <v>11000</v>
      </c>
      <c r="N16" s="109"/>
      <c r="O16" s="109"/>
      <c r="P16" s="109"/>
      <c r="Q16" s="109"/>
      <c r="R16" s="109"/>
      <c r="S16" s="56">
        <f>K16+M16</f>
        <v>31500</v>
      </c>
    </row>
    <row r="17" spans="1:19" s="2" customFormat="1" ht="12.75" customHeight="1">
      <c r="A17" s="200"/>
      <c r="B17" s="216"/>
      <c r="C17" s="154"/>
      <c r="D17" s="154"/>
      <c r="E17" s="154"/>
      <c r="F17" s="154"/>
      <c r="G17" s="195"/>
      <c r="H17" s="44" t="s">
        <v>66</v>
      </c>
      <c r="I17" s="118" t="s">
        <v>67</v>
      </c>
      <c r="J17" s="46" t="s">
        <v>65</v>
      </c>
      <c r="K17" s="56">
        <v>2800</v>
      </c>
      <c r="L17" s="45" t="s">
        <v>84</v>
      </c>
      <c r="M17" s="56">
        <v>0</v>
      </c>
      <c r="N17" s="109"/>
      <c r="O17" s="109"/>
      <c r="P17" s="109"/>
      <c r="Q17" s="109"/>
      <c r="R17" s="109"/>
      <c r="S17" s="56">
        <f>K17+M17</f>
        <v>2800</v>
      </c>
    </row>
    <row r="18" spans="1:19" s="2" customFormat="1" ht="24.75" customHeight="1">
      <c r="A18" s="200"/>
      <c r="B18" s="216"/>
      <c r="C18" s="154"/>
      <c r="D18" s="154"/>
      <c r="E18" s="154"/>
      <c r="F18" s="154"/>
      <c r="G18" s="195"/>
      <c r="H18" s="44" t="s">
        <v>147</v>
      </c>
      <c r="I18" s="45" t="s">
        <v>148</v>
      </c>
      <c r="J18" s="46" t="s">
        <v>65</v>
      </c>
      <c r="K18" s="56">
        <v>0</v>
      </c>
      <c r="L18" s="45" t="s">
        <v>84</v>
      </c>
      <c r="M18" s="56">
        <v>1900</v>
      </c>
      <c r="N18" s="109"/>
      <c r="O18" s="109"/>
      <c r="P18" s="109"/>
      <c r="Q18" s="109"/>
      <c r="R18" s="109"/>
      <c r="S18" s="56">
        <f>K18+M18</f>
        <v>1900</v>
      </c>
    </row>
    <row r="19" spans="1:19" s="2" customFormat="1" ht="12.75" customHeight="1">
      <c r="A19" s="200"/>
      <c r="B19" s="216"/>
      <c r="C19" s="154"/>
      <c r="D19" s="154"/>
      <c r="E19" s="154"/>
      <c r="F19" s="154"/>
      <c r="G19" s="195"/>
      <c r="H19" s="44" t="s">
        <v>69</v>
      </c>
      <c r="I19" s="45" t="s">
        <v>70</v>
      </c>
      <c r="J19" s="46" t="s">
        <v>65</v>
      </c>
      <c r="K19" s="56">
        <v>0</v>
      </c>
      <c r="L19" s="45" t="s">
        <v>84</v>
      </c>
      <c r="M19" s="56">
        <v>10000</v>
      </c>
      <c r="N19" s="109"/>
      <c r="O19" s="109"/>
      <c r="P19" s="109"/>
      <c r="Q19" s="109"/>
      <c r="R19" s="109"/>
      <c r="S19" s="56">
        <f>K19+M19</f>
        <v>10000</v>
      </c>
    </row>
    <row r="20" spans="1:19" s="2" customFormat="1" ht="95.25" customHeight="1">
      <c r="A20" s="200"/>
      <c r="B20" s="216"/>
      <c r="C20" s="154"/>
      <c r="D20" s="154"/>
      <c r="E20" s="154"/>
      <c r="F20" s="154"/>
      <c r="G20" s="195"/>
      <c r="I20" s="120"/>
      <c r="J20" s="47" t="s">
        <v>72</v>
      </c>
      <c r="K20" s="57">
        <f>SUM(K16:K19)</f>
        <v>23300</v>
      </c>
      <c r="L20" s="47" t="s">
        <v>73</v>
      </c>
      <c r="M20" s="84">
        <f>SUM(M16:M19)</f>
        <v>22900</v>
      </c>
      <c r="N20" s="85"/>
      <c r="O20" s="85"/>
      <c r="P20" s="85"/>
      <c r="Q20" s="85"/>
      <c r="R20" s="85"/>
      <c r="S20" s="56">
        <f>SUM(S16:S19)</f>
        <v>46200</v>
      </c>
    </row>
    <row r="21" spans="1:19" s="2" customFormat="1" ht="12.75" customHeight="1">
      <c r="A21" s="198" t="s">
        <v>145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49"/>
      <c r="O21" s="49"/>
      <c r="P21" s="49"/>
      <c r="Q21" s="49"/>
      <c r="R21" s="49"/>
      <c r="S21" s="59">
        <f>S20</f>
        <v>46200</v>
      </c>
    </row>
    <row r="22" spans="1:19" ht="12.75">
      <c r="A22" s="200" t="s">
        <v>163</v>
      </c>
      <c r="B22" s="229" t="s">
        <v>77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</row>
    <row r="23" spans="1:19" s="2" customFormat="1" ht="15" customHeight="1">
      <c r="A23" s="200"/>
      <c r="B23" s="145" t="s">
        <v>49</v>
      </c>
      <c r="C23" s="205" t="s">
        <v>50</v>
      </c>
      <c r="D23" s="206"/>
      <c r="E23" s="206"/>
      <c r="F23" s="207"/>
      <c r="G23" s="208" t="s">
        <v>51</v>
      </c>
      <c r="H23" s="211" t="s">
        <v>52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3"/>
    </row>
    <row r="24" spans="1:19" s="2" customFormat="1" ht="38.25" customHeight="1">
      <c r="A24" s="200"/>
      <c r="B24" s="147"/>
      <c r="C24" s="97" t="s">
        <v>53</v>
      </c>
      <c r="D24" s="97" t="s">
        <v>54</v>
      </c>
      <c r="E24" s="97" t="s">
        <v>55</v>
      </c>
      <c r="F24" s="97" t="s">
        <v>56</v>
      </c>
      <c r="G24" s="214"/>
      <c r="H24" s="111" t="s">
        <v>57</v>
      </c>
      <c r="I24" s="111" t="s">
        <v>58</v>
      </c>
      <c r="J24" s="112" t="s">
        <v>59</v>
      </c>
      <c r="K24" s="111" t="s">
        <v>60</v>
      </c>
      <c r="L24" s="112" t="s">
        <v>61</v>
      </c>
      <c r="M24" s="111" t="s">
        <v>60</v>
      </c>
      <c r="N24" s="113"/>
      <c r="O24" s="113"/>
      <c r="P24" s="113"/>
      <c r="Q24" s="113"/>
      <c r="R24" s="113"/>
      <c r="S24" s="111" t="s">
        <v>62</v>
      </c>
    </row>
    <row r="25" spans="1:19" s="2" customFormat="1" ht="22.5">
      <c r="A25" s="200"/>
      <c r="B25" s="215" t="s">
        <v>120</v>
      </c>
      <c r="C25" s="156"/>
      <c r="D25" s="156" t="s">
        <v>63</v>
      </c>
      <c r="E25" s="156" t="s">
        <v>63</v>
      </c>
      <c r="F25" s="156" t="s">
        <v>63</v>
      </c>
      <c r="G25" s="194" t="s">
        <v>64</v>
      </c>
      <c r="H25" s="44" t="s">
        <v>89</v>
      </c>
      <c r="I25" s="45" t="s">
        <v>88</v>
      </c>
      <c r="J25" s="46" t="s">
        <v>65</v>
      </c>
      <c r="K25" s="56">
        <v>8000</v>
      </c>
      <c r="L25" s="45" t="s">
        <v>84</v>
      </c>
      <c r="M25" s="56">
        <v>103000</v>
      </c>
      <c r="N25" s="109"/>
      <c r="O25" s="109"/>
      <c r="P25" s="109"/>
      <c r="Q25" s="109"/>
      <c r="R25" s="109"/>
      <c r="S25" s="56">
        <f>K25+M25</f>
        <v>111000</v>
      </c>
    </row>
    <row r="26" spans="1:19" s="2" customFormat="1" ht="12.75">
      <c r="A26" s="200"/>
      <c r="B26" s="216"/>
      <c r="C26" s="154"/>
      <c r="D26" s="154"/>
      <c r="E26" s="154"/>
      <c r="F26" s="154"/>
      <c r="G26" s="195"/>
      <c r="H26" s="44" t="s">
        <v>66</v>
      </c>
      <c r="I26" s="118" t="s">
        <v>67</v>
      </c>
      <c r="J26" s="46" t="s">
        <v>65</v>
      </c>
      <c r="K26" s="56">
        <v>18350</v>
      </c>
      <c r="L26" s="45" t="s">
        <v>84</v>
      </c>
      <c r="M26" s="56">
        <v>0</v>
      </c>
      <c r="N26" s="109"/>
      <c r="O26" s="109"/>
      <c r="P26" s="109"/>
      <c r="Q26" s="109"/>
      <c r="R26" s="109"/>
      <c r="S26" s="56">
        <f>K26+M26</f>
        <v>18350</v>
      </c>
    </row>
    <row r="27" spans="1:19" s="2" customFormat="1" ht="22.5">
      <c r="A27" s="200"/>
      <c r="B27" s="216"/>
      <c r="C27" s="154"/>
      <c r="D27" s="154"/>
      <c r="E27" s="154"/>
      <c r="F27" s="154"/>
      <c r="G27" s="195"/>
      <c r="H27" s="44" t="s">
        <v>147</v>
      </c>
      <c r="I27" s="45" t="s">
        <v>148</v>
      </c>
      <c r="J27" s="46" t="s">
        <v>65</v>
      </c>
      <c r="K27" s="56">
        <v>0</v>
      </c>
      <c r="L27" s="45" t="s">
        <v>84</v>
      </c>
      <c r="M27" s="56">
        <v>1640</v>
      </c>
      <c r="N27" s="109"/>
      <c r="O27" s="109"/>
      <c r="P27" s="109"/>
      <c r="Q27" s="109"/>
      <c r="R27" s="109"/>
      <c r="S27" s="56">
        <f>K27+M27</f>
        <v>1640</v>
      </c>
    </row>
    <row r="28" spans="1:19" s="2" customFormat="1" ht="95.25" customHeight="1">
      <c r="A28" s="200"/>
      <c r="B28" s="216"/>
      <c r="C28" s="154"/>
      <c r="D28" s="154"/>
      <c r="E28" s="154"/>
      <c r="F28" s="154"/>
      <c r="G28" s="195"/>
      <c r="I28" s="120"/>
      <c r="J28" s="47" t="s">
        <v>72</v>
      </c>
      <c r="K28" s="57">
        <f>SUM(K25:K27)</f>
        <v>26350</v>
      </c>
      <c r="L28" s="47" t="s">
        <v>73</v>
      </c>
      <c r="M28" s="84">
        <f>SUM(M25:M27)</f>
        <v>104640</v>
      </c>
      <c r="N28" s="85"/>
      <c r="O28" s="85"/>
      <c r="P28" s="85"/>
      <c r="Q28" s="85"/>
      <c r="R28" s="85"/>
      <c r="S28" s="56">
        <f>SUM(S25:S27)</f>
        <v>130990</v>
      </c>
    </row>
    <row r="29" spans="1:19" s="2" customFormat="1" ht="12.75" customHeight="1">
      <c r="A29" s="198" t="s">
        <v>145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49"/>
      <c r="O29" s="49"/>
      <c r="P29" s="49"/>
      <c r="Q29" s="49"/>
      <c r="R29" s="49"/>
      <c r="S29" s="59">
        <f>S28</f>
        <v>130990</v>
      </c>
    </row>
    <row r="30" spans="1:19" ht="12.75">
      <c r="A30" s="200" t="s">
        <v>163</v>
      </c>
      <c r="B30" s="231" t="s">
        <v>78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04"/>
      <c r="O30" s="204"/>
      <c r="P30" s="204"/>
      <c r="Q30" s="204"/>
      <c r="R30" s="204"/>
      <c r="S30" s="204"/>
    </row>
    <row r="31" spans="1:19" s="2" customFormat="1" ht="15" customHeight="1">
      <c r="A31" s="200"/>
      <c r="B31" s="145" t="s">
        <v>49</v>
      </c>
      <c r="C31" s="205" t="s">
        <v>50</v>
      </c>
      <c r="D31" s="206"/>
      <c r="E31" s="206"/>
      <c r="F31" s="207"/>
      <c r="G31" s="208" t="s">
        <v>51</v>
      </c>
      <c r="H31" s="211" t="s">
        <v>52</v>
      </c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3"/>
    </row>
    <row r="32" spans="1:19" s="2" customFormat="1" ht="38.25" customHeight="1">
      <c r="A32" s="200"/>
      <c r="B32" s="164"/>
      <c r="C32" s="25" t="s">
        <v>53</v>
      </c>
      <c r="D32" s="25" t="s">
        <v>54</v>
      </c>
      <c r="E32" s="25" t="s">
        <v>55</v>
      </c>
      <c r="F32" s="25" t="s">
        <v>56</v>
      </c>
      <c r="G32" s="209"/>
      <c r="H32" s="41" t="s">
        <v>57</v>
      </c>
      <c r="I32" s="41" t="s">
        <v>58</v>
      </c>
      <c r="J32" s="42" t="s">
        <v>59</v>
      </c>
      <c r="K32" s="41" t="s">
        <v>60</v>
      </c>
      <c r="L32" s="42" t="s">
        <v>61</v>
      </c>
      <c r="M32" s="41" t="s">
        <v>60</v>
      </c>
      <c r="N32" s="113"/>
      <c r="O32" s="113"/>
      <c r="P32" s="113"/>
      <c r="Q32" s="113"/>
      <c r="R32" s="113"/>
      <c r="S32" s="41" t="s">
        <v>62</v>
      </c>
    </row>
    <row r="33" spans="1:19" s="2" customFormat="1" ht="22.5">
      <c r="A33" s="200"/>
      <c r="B33" s="215" t="s">
        <v>155</v>
      </c>
      <c r="C33" s="156" t="s">
        <v>63</v>
      </c>
      <c r="D33" s="156" t="s">
        <v>63</v>
      </c>
      <c r="E33" s="156" t="s">
        <v>63</v>
      </c>
      <c r="F33" s="156"/>
      <c r="G33" s="194" t="s">
        <v>64</v>
      </c>
      <c r="H33" s="44" t="s">
        <v>89</v>
      </c>
      <c r="I33" s="45" t="s">
        <v>88</v>
      </c>
      <c r="J33" s="46" t="s">
        <v>65</v>
      </c>
      <c r="K33" s="56">
        <v>13000</v>
      </c>
      <c r="L33" s="45" t="s">
        <v>84</v>
      </c>
      <c r="M33" s="56">
        <v>32000</v>
      </c>
      <c r="N33" s="109"/>
      <c r="O33" s="109"/>
      <c r="P33" s="109"/>
      <c r="Q33" s="109"/>
      <c r="R33" s="109"/>
      <c r="S33" s="56">
        <f>K33+M33</f>
        <v>45000</v>
      </c>
    </row>
    <row r="34" spans="1:19" s="2" customFormat="1" ht="12.75">
      <c r="A34" s="200"/>
      <c r="B34" s="216"/>
      <c r="C34" s="154"/>
      <c r="D34" s="154"/>
      <c r="E34" s="154"/>
      <c r="F34" s="154"/>
      <c r="G34" s="195"/>
      <c r="H34" s="44" t="s">
        <v>66</v>
      </c>
      <c r="I34" s="118" t="s">
        <v>67</v>
      </c>
      <c r="J34" s="46" t="s">
        <v>65</v>
      </c>
      <c r="K34" s="56">
        <v>10350</v>
      </c>
      <c r="L34" s="45" t="s">
        <v>84</v>
      </c>
      <c r="M34" s="56">
        <v>0</v>
      </c>
      <c r="N34" s="109"/>
      <c r="O34" s="109"/>
      <c r="P34" s="109"/>
      <c r="Q34" s="109"/>
      <c r="R34" s="109"/>
      <c r="S34" s="56">
        <f>K34+M34</f>
        <v>10350</v>
      </c>
    </row>
    <row r="35" spans="1:19" s="2" customFormat="1" ht="22.5">
      <c r="A35" s="200"/>
      <c r="B35" s="216"/>
      <c r="C35" s="154"/>
      <c r="D35" s="154"/>
      <c r="E35" s="154"/>
      <c r="F35" s="154"/>
      <c r="G35" s="195"/>
      <c r="H35" s="44" t="s">
        <v>147</v>
      </c>
      <c r="I35" s="45" t="s">
        <v>148</v>
      </c>
      <c r="J35" s="46" t="s">
        <v>65</v>
      </c>
      <c r="K35" s="56">
        <v>0</v>
      </c>
      <c r="L35" s="45" t="s">
        <v>84</v>
      </c>
      <c r="M35" s="56">
        <v>1640</v>
      </c>
      <c r="N35" s="109"/>
      <c r="O35" s="109"/>
      <c r="P35" s="109"/>
      <c r="Q35" s="109"/>
      <c r="R35" s="109"/>
      <c r="S35" s="56">
        <f>K35+M35</f>
        <v>1640</v>
      </c>
    </row>
    <row r="36" spans="1:19" s="2" customFormat="1" ht="95.25" customHeight="1">
      <c r="A36" s="200"/>
      <c r="B36" s="216"/>
      <c r="C36" s="154"/>
      <c r="D36" s="154"/>
      <c r="E36" s="154"/>
      <c r="F36" s="154"/>
      <c r="G36" s="195"/>
      <c r="I36" s="120"/>
      <c r="J36" s="47" t="s">
        <v>72</v>
      </c>
      <c r="K36" s="57">
        <f>SUM(K33:K35)</f>
        <v>23350</v>
      </c>
      <c r="L36" s="47" t="s">
        <v>73</v>
      </c>
      <c r="M36" s="84">
        <f>SUM(M33:M35)</f>
        <v>33640</v>
      </c>
      <c r="N36" s="85"/>
      <c r="O36" s="85"/>
      <c r="P36" s="85"/>
      <c r="Q36" s="85"/>
      <c r="R36" s="85"/>
      <c r="S36" s="56">
        <f>SUM(S33:S35)</f>
        <v>56990</v>
      </c>
    </row>
    <row r="37" spans="1:19" ht="12.75">
      <c r="A37" s="198" t="s">
        <v>145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49"/>
      <c r="O37" s="49"/>
      <c r="P37" s="49"/>
      <c r="Q37" s="49"/>
      <c r="R37" s="49"/>
      <c r="S37" s="59">
        <f>S36</f>
        <v>56990</v>
      </c>
    </row>
    <row r="38" spans="1:19" s="74" customFormat="1" ht="12.75">
      <c r="A38" s="115"/>
      <c r="B38" s="53"/>
      <c r="C38" s="53"/>
      <c r="D38" s="53"/>
      <c r="E38" s="53"/>
      <c r="F38" s="53"/>
      <c r="G38" s="53"/>
      <c r="H38" s="53"/>
      <c r="I38" s="119"/>
      <c r="J38" s="53"/>
      <c r="K38" s="53"/>
      <c r="L38" s="53"/>
      <c r="M38" s="53"/>
      <c r="N38" s="10"/>
      <c r="O38" s="10"/>
      <c r="P38" s="10"/>
      <c r="Q38" s="10"/>
      <c r="R38" s="10"/>
      <c r="S38" s="116"/>
    </row>
    <row r="39" spans="1:19" s="74" customFormat="1" ht="12.75">
      <c r="A39" s="115"/>
      <c r="B39" s="53"/>
      <c r="C39" s="53"/>
      <c r="D39" s="53"/>
      <c r="E39" s="53"/>
      <c r="F39" s="53"/>
      <c r="G39" s="53"/>
      <c r="H39" s="53"/>
      <c r="I39" s="119"/>
      <c r="J39" s="53"/>
      <c r="K39" s="53"/>
      <c r="L39" s="53"/>
      <c r="M39" s="53"/>
      <c r="N39" s="10"/>
      <c r="O39" s="10"/>
      <c r="P39" s="10"/>
      <c r="Q39" s="10"/>
      <c r="R39" s="10"/>
      <c r="S39" s="116"/>
    </row>
    <row r="40" spans="1:19" s="74" customFormat="1" ht="12.75">
      <c r="A40" s="171" t="s">
        <v>48</v>
      </c>
      <c r="B40" s="145" t="s">
        <v>49</v>
      </c>
      <c r="C40" s="205" t="s">
        <v>50</v>
      </c>
      <c r="D40" s="206"/>
      <c r="E40" s="206"/>
      <c r="F40" s="207"/>
      <c r="G40" s="208" t="s">
        <v>51</v>
      </c>
      <c r="H40" s="211" t="s">
        <v>52</v>
      </c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3"/>
    </row>
    <row r="41" spans="1:19" s="74" customFormat="1" ht="33.75">
      <c r="A41" s="171"/>
      <c r="B41" s="164"/>
      <c r="C41" s="25" t="s">
        <v>53</v>
      </c>
      <c r="D41" s="25" t="s">
        <v>54</v>
      </c>
      <c r="E41" s="25" t="s">
        <v>55</v>
      </c>
      <c r="F41" s="25" t="s">
        <v>56</v>
      </c>
      <c r="G41" s="209"/>
      <c r="H41" s="41" t="s">
        <v>57</v>
      </c>
      <c r="I41" s="41" t="s">
        <v>58</v>
      </c>
      <c r="J41" s="42" t="s">
        <v>59</v>
      </c>
      <c r="K41" s="41" t="s">
        <v>60</v>
      </c>
      <c r="L41" s="42" t="s">
        <v>61</v>
      </c>
      <c r="M41" s="41" t="s">
        <v>60</v>
      </c>
      <c r="N41" s="82"/>
      <c r="O41" s="82"/>
      <c r="P41" s="82"/>
      <c r="Q41" s="82"/>
      <c r="R41" s="82"/>
      <c r="S41" s="41" t="s">
        <v>62</v>
      </c>
    </row>
    <row r="42" spans="1:19" ht="12.75">
      <c r="A42" s="199" t="s">
        <v>12</v>
      </c>
      <c r="B42" s="193" t="s">
        <v>76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</row>
    <row r="43" spans="1:19" ht="27" customHeight="1">
      <c r="A43" s="200"/>
      <c r="B43" s="215" t="s">
        <v>157</v>
      </c>
      <c r="C43" s="156"/>
      <c r="D43" s="156"/>
      <c r="E43" s="156" t="s">
        <v>63</v>
      </c>
      <c r="F43" s="156" t="s">
        <v>63</v>
      </c>
      <c r="G43" s="194" t="s">
        <v>64</v>
      </c>
      <c r="H43" s="65" t="s">
        <v>89</v>
      </c>
      <c r="I43" s="45" t="s">
        <v>88</v>
      </c>
      <c r="J43" s="46" t="s">
        <v>65</v>
      </c>
      <c r="K43" s="56">
        <v>1000</v>
      </c>
      <c r="L43" s="46" t="s">
        <v>84</v>
      </c>
      <c r="M43" s="56">
        <v>20000</v>
      </c>
      <c r="S43" s="56">
        <f>K43+M43</f>
        <v>21000</v>
      </c>
    </row>
    <row r="44" spans="1:19" ht="15" customHeight="1">
      <c r="A44" s="200"/>
      <c r="B44" s="216"/>
      <c r="C44" s="154"/>
      <c r="D44" s="154"/>
      <c r="E44" s="154"/>
      <c r="F44" s="154"/>
      <c r="G44" s="195"/>
      <c r="H44" s="44" t="s">
        <v>108</v>
      </c>
      <c r="I44" s="45" t="s">
        <v>71</v>
      </c>
      <c r="J44" s="46" t="s">
        <v>65</v>
      </c>
      <c r="K44" s="56">
        <v>3000</v>
      </c>
      <c r="L44" s="46" t="s">
        <v>84</v>
      </c>
      <c r="M44" s="56">
        <v>6000</v>
      </c>
      <c r="S44" s="56">
        <f>K44+M44</f>
        <v>9000</v>
      </c>
    </row>
    <row r="45" spans="1:19" ht="24.75" customHeight="1">
      <c r="A45" s="200"/>
      <c r="B45" s="216"/>
      <c r="C45" s="154"/>
      <c r="D45" s="154"/>
      <c r="E45" s="154"/>
      <c r="F45" s="154"/>
      <c r="G45" s="195"/>
      <c r="H45" s="44" t="s">
        <v>66</v>
      </c>
      <c r="I45" s="45" t="s">
        <v>67</v>
      </c>
      <c r="J45" s="46" t="s">
        <v>65</v>
      </c>
      <c r="K45" s="56">
        <v>8000</v>
      </c>
      <c r="L45" s="46" t="s">
        <v>84</v>
      </c>
      <c r="M45" s="56">
        <v>0</v>
      </c>
      <c r="S45" s="56">
        <f>K45+M45</f>
        <v>8000</v>
      </c>
    </row>
    <row r="46" spans="1:19" ht="99.75" customHeight="1">
      <c r="A46" s="201"/>
      <c r="B46" s="228"/>
      <c r="C46" s="66"/>
      <c r="D46" s="66"/>
      <c r="E46" s="66"/>
      <c r="F46" s="66"/>
      <c r="G46" s="68"/>
      <c r="I46" s="120"/>
      <c r="J46" s="47" t="s">
        <v>72</v>
      </c>
      <c r="K46" s="57">
        <f>SUM(K43:K45)</f>
        <v>12000</v>
      </c>
      <c r="L46" s="47" t="s">
        <v>73</v>
      </c>
      <c r="M46" s="57">
        <f>SUM(M43:M45)</f>
        <v>26000</v>
      </c>
      <c r="S46" s="56">
        <f>K46+M46</f>
        <v>38000</v>
      </c>
    </row>
    <row r="47" spans="1:19" ht="12.75">
      <c r="A47" s="99"/>
      <c r="B47" s="100"/>
      <c r="C47" s="196" t="s">
        <v>74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7"/>
      <c r="N47" s="49"/>
      <c r="O47" s="49"/>
      <c r="P47" s="49"/>
      <c r="Q47" s="49"/>
      <c r="R47" s="49"/>
      <c r="S47" s="59">
        <f>SUM(S46)</f>
        <v>38000</v>
      </c>
    </row>
    <row r="48" spans="1:19" ht="12.75">
      <c r="A48" s="199" t="s">
        <v>12</v>
      </c>
      <c r="B48" s="193" t="s">
        <v>77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</row>
    <row r="49" spans="1:19" ht="22.5" customHeight="1">
      <c r="A49" s="200"/>
      <c r="B49" s="184" t="s">
        <v>125</v>
      </c>
      <c r="C49" s="156" t="s">
        <v>63</v>
      </c>
      <c r="D49" s="156" t="s">
        <v>63</v>
      </c>
      <c r="E49" s="156" t="s">
        <v>63</v>
      </c>
      <c r="F49" s="156" t="s">
        <v>63</v>
      </c>
      <c r="G49" s="194" t="s">
        <v>64</v>
      </c>
      <c r="H49" s="65" t="s">
        <v>89</v>
      </c>
      <c r="I49" s="45" t="s">
        <v>88</v>
      </c>
      <c r="J49" s="46" t="s">
        <v>65</v>
      </c>
      <c r="K49" s="56">
        <v>0</v>
      </c>
      <c r="L49" s="46" t="s">
        <v>84</v>
      </c>
      <c r="M49" s="56">
        <v>61000</v>
      </c>
      <c r="S49" s="56">
        <f>K49+M49</f>
        <v>61000</v>
      </c>
    </row>
    <row r="50" spans="1:19" ht="12.75">
      <c r="A50" s="200"/>
      <c r="B50" s="185"/>
      <c r="C50" s="154"/>
      <c r="D50" s="154"/>
      <c r="E50" s="154"/>
      <c r="F50" s="154"/>
      <c r="G50" s="195"/>
      <c r="H50" s="44" t="s">
        <v>108</v>
      </c>
      <c r="I50" s="45" t="s">
        <v>71</v>
      </c>
      <c r="J50" s="46" t="s">
        <v>65</v>
      </c>
      <c r="K50" s="56">
        <v>0</v>
      </c>
      <c r="L50" s="46" t="s">
        <v>84</v>
      </c>
      <c r="M50" s="56">
        <v>45000</v>
      </c>
      <c r="S50" s="56">
        <f>K50+M50</f>
        <v>45000</v>
      </c>
    </row>
    <row r="51" spans="1:19" ht="25.5" customHeight="1">
      <c r="A51" s="200"/>
      <c r="B51" s="185"/>
      <c r="C51" s="154"/>
      <c r="D51" s="154"/>
      <c r="E51" s="154"/>
      <c r="F51" s="154"/>
      <c r="G51" s="195"/>
      <c r="H51" s="44" t="s">
        <v>66</v>
      </c>
      <c r="I51" s="45" t="s">
        <v>67</v>
      </c>
      <c r="J51" s="46" t="s">
        <v>65</v>
      </c>
      <c r="K51" s="56">
        <v>19000</v>
      </c>
      <c r="L51" s="46" t="s">
        <v>84</v>
      </c>
      <c r="M51" s="56">
        <v>0</v>
      </c>
      <c r="S51" s="56">
        <f>K51+M51</f>
        <v>19000</v>
      </c>
    </row>
    <row r="52" spans="1:19" ht="49.5" customHeight="1">
      <c r="A52" s="201"/>
      <c r="B52" s="202"/>
      <c r="C52" s="66"/>
      <c r="D52" s="66"/>
      <c r="E52" s="66"/>
      <c r="F52" s="66"/>
      <c r="G52" s="68"/>
      <c r="I52" s="120"/>
      <c r="J52" s="47" t="s">
        <v>72</v>
      </c>
      <c r="K52" s="57">
        <f>SUM(K49:K51)</f>
        <v>19000</v>
      </c>
      <c r="L52" s="47" t="s">
        <v>73</v>
      </c>
      <c r="M52" s="58">
        <f>SUM(M49:M51)</f>
        <v>106000</v>
      </c>
      <c r="S52" s="56">
        <f>K52+M52</f>
        <v>125000</v>
      </c>
    </row>
    <row r="53" spans="1:19" ht="12.75">
      <c r="A53" s="196" t="s">
        <v>74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7"/>
      <c r="L53" s="196"/>
      <c r="M53" s="196"/>
      <c r="N53" s="49"/>
      <c r="O53" s="49"/>
      <c r="P53" s="49"/>
      <c r="Q53" s="49"/>
      <c r="R53" s="49"/>
      <c r="S53" s="59">
        <f>SUM(S52)</f>
        <v>125000</v>
      </c>
    </row>
    <row r="54" spans="1:19" ht="12.75">
      <c r="A54" s="199" t="s">
        <v>12</v>
      </c>
      <c r="B54" s="193" t="s">
        <v>78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</row>
    <row r="55" spans="1:19" ht="22.5" customHeight="1">
      <c r="A55" s="200"/>
      <c r="B55" s="184" t="s">
        <v>122</v>
      </c>
      <c r="C55" s="156" t="s">
        <v>63</v>
      </c>
      <c r="D55" s="156" t="s">
        <v>63</v>
      </c>
      <c r="E55" s="156" t="s">
        <v>63</v>
      </c>
      <c r="F55" s="156" t="s">
        <v>63</v>
      </c>
      <c r="G55" s="194" t="s">
        <v>64</v>
      </c>
      <c r="H55" s="65" t="s">
        <v>89</v>
      </c>
      <c r="I55" s="45" t="s">
        <v>88</v>
      </c>
      <c r="J55" s="46" t="s">
        <v>65</v>
      </c>
      <c r="K55" s="56">
        <v>0</v>
      </c>
      <c r="L55" s="46" t="s">
        <v>84</v>
      </c>
      <c r="M55" s="56">
        <v>41000</v>
      </c>
      <c r="S55" s="56">
        <f>K55+M55</f>
        <v>41000</v>
      </c>
    </row>
    <row r="56" spans="1:19" ht="12.75">
      <c r="A56" s="200"/>
      <c r="B56" s="185"/>
      <c r="C56" s="154"/>
      <c r="D56" s="154"/>
      <c r="E56" s="154"/>
      <c r="F56" s="154"/>
      <c r="G56" s="195"/>
      <c r="H56" s="44" t="s">
        <v>108</v>
      </c>
      <c r="I56" s="45" t="s">
        <v>71</v>
      </c>
      <c r="J56" s="46" t="s">
        <v>65</v>
      </c>
      <c r="K56" s="56">
        <v>0</v>
      </c>
      <c r="L56" s="46" t="s">
        <v>84</v>
      </c>
      <c r="M56" s="56">
        <v>22000</v>
      </c>
      <c r="S56" s="56">
        <f>K56+M56</f>
        <v>22000</v>
      </c>
    </row>
    <row r="57" spans="1:19" ht="42.75" customHeight="1">
      <c r="A57" s="200"/>
      <c r="B57" s="185"/>
      <c r="C57" s="154"/>
      <c r="D57" s="154"/>
      <c r="E57" s="154"/>
      <c r="F57" s="154"/>
      <c r="G57" s="195"/>
      <c r="H57" s="44" t="s">
        <v>66</v>
      </c>
      <c r="I57" s="45" t="s">
        <v>67</v>
      </c>
      <c r="J57" s="46" t="s">
        <v>65</v>
      </c>
      <c r="K57" s="56">
        <v>16000</v>
      </c>
      <c r="L57" s="46" t="s">
        <v>84</v>
      </c>
      <c r="M57" s="56">
        <v>0</v>
      </c>
      <c r="S57" s="56">
        <f>K57+M57</f>
        <v>16000</v>
      </c>
    </row>
    <row r="58" spans="1:19" ht="37.5" customHeight="1">
      <c r="A58" s="201"/>
      <c r="B58" s="202"/>
      <c r="C58" s="66"/>
      <c r="D58" s="66"/>
      <c r="E58" s="66"/>
      <c r="F58" s="66"/>
      <c r="G58" s="68"/>
      <c r="I58" s="120"/>
      <c r="J58" s="47" t="s">
        <v>72</v>
      </c>
      <c r="K58" s="57">
        <f>SUM(K55:K57)</f>
        <v>16000</v>
      </c>
      <c r="L58" s="47" t="s">
        <v>73</v>
      </c>
      <c r="M58" s="58">
        <f>SUM(M55:M57)</f>
        <v>63000</v>
      </c>
      <c r="S58" s="56">
        <f>K58+M58</f>
        <v>79000</v>
      </c>
    </row>
    <row r="59" spans="1:19" ht="12.75">
      <c r="A59" s="198" t="s">
        <v>74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09"/>
      <c r="O59" s="109"/>
      <c r="P59" s="109"/>
      <c r="Q59" s="109"/>
      <c r="R59" s="109"/>
      <c r="S59" s="110">
        <f>SUM(S58)</f>
        <v>79000</v>
      </c>
    </row>
    <row r="60" spans="1:19" ht="15">
      <c r="A60" s="2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</row>
    <row r="61" spans="1:19" ht="12.75">
      <c r="A61" s="171" t="s">
        <v>48</v>
      </c>
      <c r="B61" s="145" t="s">
        <v>49</v>
      </c>
      <c r="C61" s="205" t="s">
        <v>50</v>
      </c>
      <c r="D61" s="206"/>
      <c r="E61" s="206"/>
      <c r="F61" s="207"/>
      <c r="G61" s="208" t="s">
        <v>51</v>
      </c>
      <c r="H61" s="211" t="s">
        <v>52</v>
      </c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3"/>
    </row>
    <row r="62" spans="1:19" ht="33.75">
      <c r="A62" s="171"/>
      <c r="B62" s="164"/>
      <c r="C62" s="25" t="s">
        <v>53</v>
      </c>
      <c r="D62" s="25" t="s">
        <v>54</v>
      </c>
      <c r="E62" s="25" t="s">
        <v>55</v>
      </c>
      <c r="F62" s="25" t="s">
        <v>56</v>
      </c>
      <c r="G62" s="209"/>
      <c r="H62" s="41" t="s">
        <v>57</v>
      </c>
      <c r="I62" s="41" t="s">
        <v>58</v>
      </c>
      <c r="J62" s="42" t="s">
        <v>59</v>
      </c>
      <c r="K62" s="41" t="s">
        <v>60</v>
      </c>
      <c r="L62" s="42" t="s">
        <v>61</v>
      </c>
      <c r="M62" s="41" t="s">
        <v>60</v>
      </c>
      <c r="N62" s="82"/>
      <c r="O62" s="82"/>
      <c r="P62" s="82"/>
      <c r="Q62" s="82"/>
      <c r="R62" s="82"/>
      <c r="S62" s="41" t="s">
        <v>62</v>
      </c>
    </row>
    <row r="63" spans="1:19" ht="12.75">
      <c r="A63" s="199" t="s">
        <v>146</v>
      </c>
      <c r="B63" s="193" t="s">
        <v>76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</row>
    <row r="64" spans="1:19" ht="22.5" customHeight="1">
      <c r="A64" s="200"/>
      <c r="B64" s="216" t="s">
        <v>158</v>
      </c>
      <c r="C64" s="154"/>
      <c r="D64" s="154"/>
      <c r="E64" s="154" t="s">
        <v>63</v>
      </c>
      <c r="F64" s="154" t="s">
        <v>63</v>
      </c>
      <c r="G64" s="195" t="s">
        <v>64</v>
      </c>
      <c r="H64" s="101" t="s">
        <v>89</v>
      </c>
      <c r="I64" s="78" t="s">
        <v>88</v>
      </c>
      <c r="J64" s="46" t="s">
        <v>65</v>
      </c>
      <c r="K64" s="79">
        <v>0</v>
      </c>
      <c r="L64" s="121" t="s">
        <v>84</v>
      </c>
      <c r="M64" s="79">
        <v>50000</v>
      </c>
      <c r="S64" s="79">
        <f>K64+M64</f>
        <v>50000</v>
      </c>
    </row>
    <row r="65" spans="1:19" ht="22.5" customHeight="1">
      <c r="A65" s="200"/>
      <c r="B65" s="216"/>
      <c r="C65" s="154"/>
      <c r="D65" s="154"/>
      <c r="E65" s="154"/>
      <c r="F65" s="154"/>
      <c r="G65" s="195"/>
      <c r="H65" s="44" t="s">
        <v>66</v>
      </c>
      <c r="I65" s="45" t="s">
        <v>67</v>
      </c>
      <c r="J65" s="46" t="s">
        <v>65</v>
      </c>
      <c r="K65" s="56">
        <v>5000</v>
      </c>
      <c r="L65" s="121" t="s">
        <v>84</v>
      </c>
      <c r="M65" s="56">
        <v>0</v>
      </c>
      <c r="S65" s="56">
        <f>K65+M65</f>
        <v>5000</v>
      </c>
    </row>
    <row r="66" spans="1:19" ht="112.5" customHeight="1">
      <c r="A66" s="201"/>
      <c r="B66" s="216"/>
      <c r="C66" s="154"/>
      <c r="D66" s="154"/>
      <c r="E66" s="154"/>
      <c r="F66" s="154"/>
      <c r="G66" s="195"/>
      <c r="H66" s="44"/>
      <c r="I66" s="45"/>
      <c r="J66" s="47" t="s">
        <v>72</v>
      </c>
      <c r="K66" s="57">
        <f>SUM(K63:K65)</f>
        <v>5000</v>
      </c>
      <c r="L66" s="47" t="s">
        <v>73</v>
      </c>
      <c r="M66" s="56">
        <f>SUM(M63:M65)</f>
        <v>50000</v>
      </c>
      <c r="S66" s="56">
        <f>K66+M66</f>
        <v>55000</v>
      </c>
    </row>
    <row r="67" spans="1:19" ht="12.75" customHeight="1">
      <c r="A67" s="225" t="s">
        <v>79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7"/>
      <c r="S67" s="59">
        <f>S66</f>
        <v>55000</v>
      </c>
    </row>
    <row r="68" spans="1:19" ht="12.75">
      <c r="A68" s="199" t="s">
        <v>146</v>
      </c>
      <c r="B68" s="193" t="s">
        <v>77</v>
      </c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</row>
    <row r="69" spans="1:19" ht="22.5" customHeight="1">
      <c r="A69" s="200"/>
      <c r="B69" s="215" t="s">
        <v>127</v>
      </c>
      <c r="C69" s="156" t="s">
        <v>63</v>
      </c>
      <c r="D69" s="156" t="s">
        <v>63</v>
      </c>
      <c r="E69" s="156" t="s">
        <v>63</v>
      </c>
      <c r="F69" s="156" t="s">
        <v>63</v>
      </c>
      <c r="G69" s="194" t="s">
        <v>64</v>
      </c>
      <c r="H69" s="65" t="s">
        <v>89</v>
      </c>
      <c r="I69" s="45" t="s">
        <v>88</v>
      </c>
      <c r="J69" s="46" t="s">
        <v>65</v>
      </c>
      <c r="K69" s="56">
        <v>0</v>
      </c>
      <c r="L69" s="46" t="s">
        <v>84</v>
      </c>
      <c r="M69" s="56">
        <v>80000</v>
      </c>
      <c r="S69" s="56">
        <f>K69+M69</f>
        <v>80000</v>
      </c>
    </row>
    <row r="70" spans="1:19" ht="22.5" customHeight="1">
      <c r="A70" s="200"/>
      <c r="B70" s="216"/>
      <c r="C70" s="154"/>
      <c r="D70" s="154"/>
      <c r="E70" s="154"/>
      <c r="F70" s="154"/>
      <c r="G70" s="195"/>
      <c r="H70" s="44" t="s">
        <v>66</v>
      </c>
      <c r="I70" s="45" t="s">
        <v>67</v>
      </c>
      <c r="J70" s="46" t="s">
        <v>65</v>
      </c>
      <c r="K70" s="56">
        <v>10000</v>
      </c>
      <c r="L70" s="46" t="s">
        <v>84</v>
      </c>
      <c r="M70" s="56">
        <v>0</v>
      </c>
      <c r="S70" s="56">
        <f>K70+M70</f>
        <v>10000</v>
      </c>
    </row>
    <row r="71" spans="1:19" ht="50.25" customHeight="1">
      <c r="A71" s="201"/>
      <c r="B71" s="216"/>
      <c r="C71" s="154"/>
      <c r="D71" s="154"/>
      <c r="E71" s="154"/>
      <c r="F71" s="154"/>
      <c r="G71" s="195"/>
      <c r="H71" s="44"/>
      <c r="I71" s="45"/>
      <c r="J71" s="47" t="s">
        <v>72</v>
      </c>
      <c r="K71" s="57">
        <f>SUM(K68:K70)</f>
        <v>10000</v>
      </c>
      <c r="L71" s="47" t="s">
        <v>73</v>
      </c>
      <c r="M71" s="56">
        <f>SUM(M68:M70)</f>
        <v>80000</v>
      </c>
      <c r="S71" s="56">
        <f>K71+M71</f>
        <v>90000</v>
      </c>
    </row>
    <row r="72" spans="1:19" ht="12.75">
      <c r="A72" s="225" t="s">
        <v>79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7"/>
      <c r="N72" s="49"/>
      <c r="O72" s="49"/>
      <c r="P72" s="49"/>
      <c r="Q72" s="49"/>
      <c r="R72" s="49"/>
      <c r="S72" s="59">
        <f>S71</f>
        <v>90000</v>
      </c>
    </row>
    <row r="73" spans="1:19" ht="12.75">
      <c r="A73" s="199" t="s">
        <v>146</v>
      </c>
      <c r="B73" s="193" t="s">
        <v>78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</row>
    <row r="74" spans="1:19" ht="22.5" customHeight="1">
      <c r="A74" s="200"/>
      <c r="B74" s="215" t="s">
        <v>127</v>
      </c>
      <c r="C74" s="156" t="s">
        <v>63</v>
      </c>
      <c r="D74" s="156" t="s">
        <v>63</v>
      </c>
      <c r="E74" s="156" t="s">
        <v>63</v>
      </c>
      <c r="F74" s="156" t="s">
        <v>63</v>
      </c>
      <c r="G74" s="194" t="s">
        <v>64</v>
      </c>
      <c r="H74" s="65" t="s">
        <v>89</v>
      </c>
      <c r="I74" s="45" t="s">
        <v>88</v>
      </c>
      <c r="J74" s="46" t="s">
        <v>65</v>
      </c>
      <c r="K74" s="56">
        <v>0</v>
      </c>
      <c r="L74" s="46" t="s">
        <v>84</v>
      </c>
      <c r="M74" s="56">
        <v>80000</v>
      </c>
      <c r="S74" s="56">
        <f>K74+M74</f>
        <v>80000</v>
      </c>
    </row>
    <row r="75" spans="1:19" ht="12.75">
      <c r="A75" s="200"/>
      <c r="B75" s="216"/>
      <c r="C75" s="154"/>
      <c r="D75" s="154"/>
      <c r="E75" s="154"/>
      <c r="F75" s="154"/>
      <c r="G75" s="195"/>
      <c r="H75" s="44" t="s">
        <v>66</v>
      </c>
      <c r="I75" s="45" t="s">
        <v>67</v>
      </c>
      <c r="J75" s="46" t="s">
        <v>65</v>
      </c>
      <c r="K75" s="56">
        <v>5000</v>
      </c>
      <c r="L75" s="46" t="s">
        <v>84</v>
      </c>
      <c r="M75" s="56">
        <v>0</v>
      </c>
      <c r="S75" s="56">
        <f>K75+M75</f>
        <v>5000</v>
      </c>
    </row>
    <row r="76" spans="1:19" ht="48" customHeight="1">
      <c r="A76" s="201"/>
      <c r="B76" s="216"/>
      <c r="C76" s="154"/>
      <c r="D76" s="154"/>
      <c r="E76" s="154"/>
      <c r="F76" s="154"/>
      <c r="G76" s="195"/>
      <c r="I76" s="120"/>
      <c r="J76" s="47" t="s">
        <v>72</v>
      </c>
      <c r="K76" s="56">
        <f>SUM(K74:K75)</f>
        <v>5000</v>
      </c>
      <c r="L76" s="47" t="s">
        <v>73</v>
      </c>
      <c r="M76" s="58">
        <f>SUM(M74:M75)</f>
        <v>80000</v>
      </c>
      <c r="S76" s="56">
        <f>K76+M76</f>
        <v>85000</v>
      </c>
    </row>
    <row r="77" spans="1:19" ht="12.75">
      <c r="A77" s="225" t="s">
        <v>79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7"/>
      <c r="N77" s="49"/>
      <c r="O77" s="49"/>
      <c r="P77" s="49"/>
      <c r="Q77" s="49"/>
      <c r="R77" s="49"/>
      <c r="S77" s="70">
        <f>SUM(S76)</f>
        <v>85000</v>
      </c>
    </row>
    <row r="80" spans="1:19" ht="12.75">
      <c r="A80" s="171" t="s">
        <v>48</v>
      </c>
      <c r="B80" s="145" t="s">
        <v>49</v>
      </c>
      <c r="C80" s="205" t="s">
        <v>50</v>
      </c>
      <c r="D80" s="206"/>
      <c r="E80" s="206"/>
      <c r="F80" s="207"/>
      <c r="G80" s="208" t="s">
        <v>51</v>
      </c>
      <c r="H80" s="211" t="s">
        <v>52</v>
      </c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3"/>
    </row>
    <row r="81" spans="1:19" ht="33.75">
      <c r="A81" s="171"/>
      <c r="B81" s="164"/>
      <c r="C81" s="25" t="s">
        <v>53</v>
      </c>
      <c r="D81" s="25" t="s">
        <v>54</v>
      </c>
      <c r="E81" s="25" t="s">
        <v>55</v>
      </c>
      <c r="F81" s="25" t="s">
        <v>56</v>
      </c>
      <c r="G81" s="209"/>
      <c r="H81" s="41" t="s">
        <v>57</v>
      </c>
      <c r="I81" s="41" t="s">
        <v>58</v>
      </c>
      <c r="J81" s="42" t="s">
        <v>59</v>
      </c>
      <c r="K81" s="41" t="s">
        <v>60</v>
      </c>
      <c r="L81" s="42" t="s">
        <v>61</v>
      </c>
      <c r="M81" s="41" t="s">
        <v>60</v>
      </c>
      <c r="N81" s="82"/>
      <c r="O81" s="82"/>
      <c r="P81" s="82"/>
      <c r="Q81" s="82"/>
      <c r="R81" s="82"/>
      <c r="S81" s="41" t="s">
        <v>62</v>
      </c>
    </row>
    <row r="82" spans="1:19" ht="12.75">
      <c r="A82" s="199" t="s">
        <v>130</v>
      </c>
      <c r="B82" s="193" t="s">
        <v>76</v>
      </c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</row>
    <row r="83" spans="1:19" ht="30" customHeight="1">
      <c r="A83" s="200"/>
      <c r="B83" s="215" t="s">
        <v>170</v>
      </c>
      <c r="C83" s="156"/>
      <c r="D83" s="156"/>
      <c r="E83" s="156" t="s">
        <v>63</v>
      </c>
      <c r="F83" s="156" t="s">
        <v>63</v>
      </c>
      <c r="G83" s="194" t="s">
        <v>64</v>
      </c>
      <c r="H83" s="44" t="s">
        <v>109</v>
      </c>
      <c r="I83" s="45" t="s">
        <v>68</v>
      </c>
      <c r="J83" s="46" t="s">
        <v>65</v>
      </c>
      <c r="K83" s="56">
        <v>50000</v>
      </c>
      <c r="L83" s="46" t="s">
        <v>84</v>
      </c>
      <c r="M83" s="56">
        <v>40000</v>
      </c>
      <c r="S83" s="56">
        <f aca="true" t="shared" si="0" ref="S83:S88">K83+M83</f>
        <v>90000</v>
      </c>
    </row>
    <row r="84" spans="1:19" ht="131.25" customHeight="1">
      <c r="A84" s="200"/>
      <c r="B84" s="228"/>
      <c r="C84" s="157"/>
      <c r="D84" s="157"/>
      <c r="E84" s="157"/>
      <c r="F84" s="157"/>
      <c r="G84" s="227"/>
      <c r="H84" s="44" t="s">
        <v>66</v>
      </c>
      <c r="I84" s="45" t="s">
        <v>67</v>
      </c>
      <c r="J84" s="46" t="s">
        <v>65</v>
      </c>
      <c r="K84" s="56">
        <v>2000</v>
      </c>
      <c r="L84" s="46" t="s">
        <v>84</v>
      </c>
      <c r="M84" s="56">
        <v>0</v>
      </c>
      <c r="S84" s="56">
        <f t="shared" si="0"/>
        <v>2000</v>
      </c>
    </row>
    <row r="85" spans="1:19" ht="25.5" customHeight="1">
      <c r="A85" s="200"/>
      <c r="B85" s="215" t="s">
        <v>164</v>
      </c>
      <c r="C85" s="156"/>
      <c r="D85" s="156"/>
      <c r="E85" s="156" t="s">
        <v>63</v>
      </c>
      <c r="F85" s="156" t="s">
        <v>63</v>
      </c>
      <c r="G85" s="194" t="s">
        <v>64</v>
      </c>
      <c r="H85" s="44" t="s">
        <v>109</v>
      </c>
      <c r="I85" s="45" t="s">
        <v>68</v>
      </c>
      <c r="J85" s="46" t="s">
        <v>65</v>
      </c>
      <c r="K85" s="56">
        <v>23000</v>
      </c>
      <c r="L85" s="46" t="s">
        <v>84</v>
      </c>
      <c r="M85" s="56">
        <v>32000</v>
      </c>
      <c r="S85" s="56">
        <f t="shared" si="0"/>
        <v>55000</v>
      </c>
    </row>
    <row r="86" spans="1:19" ht="141.75" customHeight="1">
      <c r="A86" s="200"/>
      <c r="B86" s="228"/>
      <c r="C86" s="157"/>
      <c r="D86" s="157"/>
      <c r="E86" s="157"/>
      <c r="F86" s="157"/>
      <c r="G86" s="227"/>
      <c r="H86" s="44" t="s">
        <v>66</v>
      </c>
      <c r="I86" s="45" t="s">
        <v>67</v>
      </c>
      <c r="J86" s="46" t="s">
        <v>65</v>
      </c>
      <c r="K86" s="56">
        <v>2000</v>
      </c>
      <c r="L86" s="46" t="s">
        <v>84</v>
      </c>
      <c r="M86" s="56">
        <v>0</v>
      </c>
      <c r="S86" s="56">
        <f t="shared" si="0"/>
        <v>2000</v>
      </c>
    </row>
    <row r="87" spans="1:19" ht="12.75">
      <c r="A87" s="200"/>
      <c r="B87" s="215" t="s">
        <v>165</v>
      </c>
      <c r="C87" s="156" t="s">
        <v>63</v>
      </c>
      <c r="D87" s="156" t="s">
        <v>63</v>
      </c>
      <c r="E87" s="156" t="s">
        <v>63</v>
      </c>
      <c r="F87" s="156" t="s">
        <v>63</v>
      </c>
      <c r="G87" s="194" t="s">
        <v>64</v>
      </c>
      <c r="H87" s="44" t="s">
        <v>69</v>
      </c>
      <c r="I87" s="45" t="s">
        <v>70</v>
      </c>
      <c r="J87" s="46" t="s">
        <v>65</v>
      </c>
      <c r="K87" s="56">
        <v>9000</v>
      </c>
      <c r="L87" s="46" t="s">
        <v>84</v>
      </c>
      <c r="M87" s="56">
        <v>6000</v>
      </c>
      <c r="S87" s="56">
        <f t="shared" si="0"/>
        <v>15000</v>
      </c>
    </row>
    <row r="88" spans="1:19" ht="159.75" customHeight="1">
      <c r="A88" s="201"/>
      <c r="B88" s="228"/>
      <c r="C88" s="157"/>
      <c r="D88" s="157"/>
      <c r="E88" s="157"/>
      <c r="F88" s="157"/>
      <c r="G88" s="227"/>
      <c r="I88" s="120"/>
      <c r="J88" s="47" t="s">
        <v>72</v>
      </c>
      <c r="K88" s="56">
        <f>SUM(K83:K87)</f>
        <v>86000</v>
      </c>
      <c r="L88" s="47" t="s">
        <v>73</v>
      </c>
      <c r="M88" s="56">
        <f>SUM(M83:M87)</f>
        <v>78000</v>
      </c>
      <c r="N88" s="60"/>
      <c r="O88" s="60"/>
      <c r="P88" s="60"/>
      <c r="Q88" s="60"/>
      <c r="R88" s="60"/>
      <c r="S88" s="56">
        <f t="shared" si="0"/>
        <v>164000</v>
      </c>
    </row>
    <row r="89" spans="1:19" ht="12.75">
      <c r="A89" s="225" t="s">
        <v>80</v>
      </c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7"/>
      <c r="N89" s="49"/>
      <c r="O89" s="49"/>
      <c r="P89" s="49"/>
      <c r="Q89" s="49"/>
      <c r="R89" s="49"/>
      <c r="S89" s="59">
        <f>SUM(S88)</f>
        <v>164000</v>
      </c>
    </row>
    <row r="90" spans="1:19" ht="12.75">
      <c r="A90" s="199" t="s">
        <v>130</v>
      </c>
      <c r="B90" s="193" t="s">
        <v>77</v>
      </c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</row>
    <row r="91" spans="1:19" ht="25.5" customHeight="1">
      <c r="A91" s="200"/>
      <c r="B91" s="156" t="s">
        <v>171</v>
      </c>
      <c r="C91" s="156"/>
      <c r="D91" s="156"/>
      <c r="E91" s="156" t="s">
        <v>63</v>
      </c>
      <c r="F91" s="156" t="s">
        <v>63</v>
      </c>
      <c r="G91" s="194" t="s">
        <v>64</v>
      </c>
      <c r="H91" s="44" t="s">
        <v>109</v>
      </c>
      <c r="I91" s="45" t="s">
        <v>68</v>
      </c>
      <c r="J91" s="46" t="s">
        <v>65</v>
      </c>
      <c r="K91" s="56">
        <v>40000</v>
      </c>
      <c r="L91" s="46" t="s">
        <v>84</v>
      </c>
      <c r="M91" s="56">
        <v>45000</v>
      </c>
      <c r="S91" s="56">
        <f aca="true" t="shared" si="1" ref="S91:S97">K91+M91</f>
        <v>85000</v>
      </c>
    </row>
    <row r="92" spans="1:19" ht="25.5" customHeight="1">
      <c r="A92" s="200"/>
      <c r="B92" s="157"/>
      <c r="C92" s="157"/>
      <c r="D92" s="157"/>
      <c r="E92" s="157"/>
      <c r="F92" s="157"/>
      <c r="G92" s="227"/>
      <c r="H92" s="44" t="s">
        <v>66</v>
      </c>
      <c r="I92" s="45" t="s">
        <v>67</v>
      </c>
      <c r="J92" s="46" t="s">
        <v>65</v>
      </c>
      <c r="K92" s="56">
        <v>3000</v>
      </c>
      <c r="L92" s="46" t="s">
        <v>84</v>
      </c>
      <c r="M92" s="56">
        <v>0</v>
      </c>
      <c r="S92" s="56">
        <f t="shared" si="1"/>
        <v>3000</v>
      </c>
    </row>
    <row r="93" spans="1:19" ht="25.5" customHeight="1">
      <c r="A93" s="200"/>
      <c r="B93" s="215" t="s">
        <v>22</v>
      </c>
      <c r="C93" s="156"/>
      <c r="D93" s="156" t="s">
        <v>63</v>
      </c>
      <c r="E93" s="156" t="s">
        <v>63</v>
      </c>
      <c r="F93" s="156" t="s">
        <v>63</v>
      </c>
      <c r="G93" s="194" t="s">
        <v>85</v>
      </c>
      <c r="H93" s="44" t="s">
        <v>109</v>
      </c>
      <c r="I93" s="45" t="s">
        <v>68</v>
      </c>
      <c r="J93" s="46" t="s">
        <v>65</v>
      </c>
      <c r="K93" s="56">
        <v>35000</v>
      </c>
      <c r="L93" s="46" t="s">
        <v>84</v>
      </c>
      <c r="M93" s="56">
        <v>43040</v>
      </c>
      <c r="S93" s="56">
        <f t="shared" si="1"/>
        <v>78040</v>
      </c>
    </row>
    <row r="94" spans="1:19" ht="12.75">
      <c r="A94" s="200"/>
      <c r="B94" s="228"/>
      <c r="C94" s="157"/>
      <c r="D94" s="157"/>
      <c r="E94" s="157"/>
      <c r="F94" s="157"/>
      <c r="G94" s="227"/>
      <c r="H94" s="44" t="s">
        <v>66</v>
      </c>
      <c r="I94" s="45" t="s">
        <v>67</v>
      </c>
      <c r="J94" s="46" t="s">
        <v>65</v>
      </c>
      <c r="K94" s="56">
        <v>8000</v>
      </c>
      <c r="L94" s="46" t="s">
        <v>84</v>
      </c>
      <c r="M94" s="56">
        <v>0</v>
      </c>
      <c r="S94" s="56">
        <f t="shared" si="1"/>
        <v>8000</v>
      </c>
    </row>
    <row r="95" spans="1:19" ht="113.25" customHeight="1">
      <c r="A95" s="200"/>
      <c r="B95" s="102" t="s">
        <v>166</v>
      </c>
      <c r="C95" s="54"/>
      <c r="D95" s="54"/>
      <c r="E95" s="54" t="s">
        <v>63</v>
      </c>
      <c r="F95" s="54" t="s">
        <v>63</v>
      </c>
      <c r="G95" s="55" t="s">
        <v>64</v>
      </c>
      <c r="H95" s="44" t="s">
        <v>69</v>
      </c>
      <c r="I95" s="45" t="s">
        <v>70</v>
      </c>
      <c r="J95" s="46" t="s">
        <v>65</v>
      </c>
      <c r="K95" s="56">
        <v>55000</v>
      </c>
      <c r="L95" s="46" t="s">
        <v>84</v>
      </c>
      <c r="M95" s="56">
        <v>25000</v>
      </c>
      <c r="S95" s="56">
        <f t="shared" si="1"/>
        <v>80000</v>
      </c>
    </row>
    <row r="96" spans="1:19" ht="39.75" customHeight="1">
      <c r="A96" s="200"/>
      <c r="B96" s="122" t="s">
        <v>156</v>
      </c>
      <c r="C96" s="44" t="s">
        <v>63</v>
      </c>
      <c r="D96" s="44" t="s">
        <v>63</v>
      </c>
      <c r="E96" s="44" t="s">
        <v>63</v>
      </c>
      <c r="F96" s="44" t="s">
        <v>63</v>
      </c>
      <c r="G96" s="118" t="s">
        <v>85</v>
      </c>
      <c r="H96" s="44" t="s">
        <v>69</v>
      </c>
      <c r="I96" s="45" t="s">
        <v>70</v>
      </c>
      <c r="J96" s="46" t="s">
        <v>65</v>
      </c>
      <c r="K96" s="56">
        <v>13000</v>
      </c>
      <c r="L96" s="46" t="s">
        <v>84</v>
      </c>
      <c r="M96" s="56">
        <v>7000</v>
      </c>
      <c r="S96" s="56">
        <f t="shared" si="1"/>
        <v>20000</v>
      </c>
    </row>
    <row r="97" spans="1:19" ht="134.25" customHeight="1">
      <c r="A97" s="201"/>
      <c r="B97" s="67"/>
      <c r="C97" s="66"/>
      <c r="D97" s="66"/>
      <c r="E97" s="66"/>
      <c r="F97" s="66"/>
      <c r="G97" s="68"/>
      <c r="H97" s="107"/>
      <c r="I97" s="120"/>
      <c r="J97" s="47" t="s">
        <v>72</v>
      </c>
      <c r="K97" s="57">
        <f>SUM(K91:K96)</f>
        <v>154000</v>
      </c>
      <c r="L97" s="47" t="s">
        <v>73</v>
      </c>
      <c r="M97" s="57">
        <f>SUM(M91:M96)</f>
        <v>120040</v>
      </c>
      <c r="N97" s="60"/>
      <c r="O97" s="60"/>
      <c r="P97" s="60"/>
      <c r="Q97" s="60"/>
      <c r="R97" s="60"/>
      <c r="S97" s="56">
        <f t="shared" si="1"/>
        <v>274040</v>
      </c>
    </row>
    <row r="98" spans="1:19" ht="12.75">
      <c r="A98" s="225" t="s">
        <v>80</v>
      </c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7"/>
      <c r="N98" s="49"/>
      <c r="O98" s="49"/>
      <c r="P98" s="49"/>
      <c r="Q98" s="49"/>
      <c r="R98" s="49"/>
      <c r="S98" s="64">
        <f>SUM(S97)</f>
        <v>274040</v>
      </c>
    </row>
    <row r="99" spans="1:19" ht="12.75">
      <c r="A99" s="199" t="s">
        <v>130</v>
      </c>
      <c r="B99" s="193" t="s">
        <v>78</v>
      </c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</row>
    <row r="100" spans="1:19" ht="25.5" customHeight="1">
      <c r="A100" s="200"/>
      <c r="B100" s="215" t="s">
        <v>22</v>
      </c>
      <c r="C100" s="156" t="s">
        <v>63</v>
      </c>
      <c r="D100" s="156" t="s">
        <v>63</v>
      </c>
      <c r="E100" s="156"/>
      <c r="F100" s="156"/>
      <c r="G100" s="194" t="s">
        <v>64</v>
      </c>
      <c r="H100" s="44" t="s">
        <v>109</v>
      </c>
      <c r="I100" s="45" t="s">
        <v>68</v>
      </c>
      <c r="J100" s="46" t="s">
        <v>65</v>
      </c>
      <c r="K100" s="56">
        <v>18200</v>
      </c>
      <c r="L100" s="46" t="s">
        <v>84</v>
      </c>
      <c r="M100" s="56">
        <v>56000</v>
      </c>
      <c r="S100" s="56">
        <f>SUM(K100+M100)</f>
        <v>74200</v>
      </c>
    </row>
    <row r="101" spans="1:19" ht="12.75">
      <c r="A101" s="200"/>
      <c r="B101" s="228"/>
      <c r="C101" s="157"/>
      <c r="D101" s="157"/>
      <c r="E101" s="157"/>
      <c r="F101" s="157"/>
      <c r="G101" s="227"/>
      <c r="H101" s="44" t="s">
        <v>66</v>
      </c>
      <c r="I101" s="45" t="s">
        <v>67</v>
      </c>
      <c r="J101" s="46" t="s">
        <v>65</v>
      </c>
      <c r="K101" s="56">
        <v>1000</v>
      </c>
      <c r="L101" s="46" t="s">
        <v>84</v>
      </c>
      <c r="M101" s="56">
        <v>0</v>
      </c>
      <c r="S101" s="56">
        <f>K101+M101</f>
        <v>1000</v>
      </c>
    </row>
    <row r="102" spans="1:19" ht="25.5">
      <c r="A102" s="200"/>
      <c r="B102" s="122" t="s">
        <v>156</v>
      </c>
      <c r="C102" s="44" t="s">
        <v>63</v>
      </c>
      <c r="D102" s="44" t="s">
        <v>63</v>
      </c>
      <c r="E102" s="44" t="s">
        <v>63</v>
      </c>
      <c r="F102" s="44" t="s">
        <v>63</v>
      </c>
      <c r="G102" s="118" t="s">
        <v>64</v>
      </c>
      <c r="H102" s="44" t="s">
        <v>69</v>
      </c>
      <c r="I102" s="45" t="s">
        <v>70</v>
      </c>
      <c r="J102" s="46" t="s">
        <v>65</v>
      </c>
      <c r="K102" s="56">
        <v>4000</v>
      </c>
      <c r="L102" s="46" t="s">
        <v>84</v>
      </c>
      <c r="M102" s="56">
        <v>16000</v>
      </c>
      <c r="S102" s="56">
        <f>SUM(K102+M102)</f>
        <v>20000</v>
      </c>
    </row>
    <row r="103" spans="1:19" ht="97.5" customHeight="1">
      <c r="A103" s="201"/>
      <c r="B103" s="67"/>
      <c r="C103" s="66"/>
      <c r="D103" s="66"/>
      <c r="E103" s="66"/>
      <c r="F103" s="66"/>
      <c r="G103" s="68"/>
      <c r="I103" s="120"/>
      <c r="J103" s="47" t="s">
        <v>72</v>
      </c>
      <c r="K103" s="57">
        <f>SUM(K100:K102)</f>
        <v>23200</v>
      </c>
      <c r="L103" s="47" t="s">
        <v>73</v>
      </c>
      <c r="M103" s="57">
        <f>SUM(M100:M102)</f>
        <v>72000</v>
      </c>
      <c r="N103" s="57"/>
      <c r="O103" s="57"/>
      <c r="P103" s="57"/>
      <c r="Q103" s="57"/>
      <c r="R103" s="57"/>
      <c r="S103" s="56">
        <f>K103+M103</f>
        <v>95200</v>
      </c>
    </row>
    <row r="104" spans="1:19" ht="12.75">
      <c r="A104" s="225" t="s">
        <v>80</v>
      </c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7"/>
      <c r="N104" s="49"/>
      <c r="O104" s="49"/>
      <c r="P104" s="49"/>
      <c r="Q104" s="49"/>
      <c r="R104" s="49"/>
      <c r="S104" s="64">
        <f>SUM(S103)</f>
        <v>95200</v>
      </c>
    </row>
    <row r="107" spans="1:19" ht="12.75">
      <c r="A107" s="171" t="s">
        <v>48</v>
      </c>
      <c r="B107" s="145" t="s">
        <v>49</v>
      </c>
      <c r="C107" s="205" t="s">
        <v>50</v>
      </c>
      <c r="D107" s="206"/>
      <c r="E107" s="206"/>
      <c r="F107" s="207"/>
      <c r="G107" s="208" t="s">
        <v>51</v>
      </c>
      <c r="H107" s="211" t="s">
        <v>52</v>
      </c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3"/>
    </row>
    <row r="108" spans="1:19" ht="33.75">
      <c r="A108" s="171"/>
      <c r="B108" s="164"/>
      <c r="C108" s="25" t="s">
        <v>53</v>
      </c>
      <c r="D108" s="25" t="s">
        <v>54</v>
      </c>
      <c r="E108" s="25" t="s">
        <v>55</v>
      </c>
      <c r="F108" s="25" t="s">
        <v>56</v>
      </c>
      <c r="G108" s="209"/>
      <c r="H108" s="41" t="s">
        <v>57</v>
      </c>
      <c r="I108" s="41" t="s">
        <v>58</v>
      </c>
      <c r="J108" s="42" t="s">
        <v>59</v>
      </c>
      <c r="K108" s="41" t="s">
        <v>60</v>
      </c>
      <c r="L108" s="42" t="s">
        <v>61</v>
      </c>
      <c r="M108" s="41" t="s">
        <v>60</v>
      </c>
      <c r="N108" s="82"/>
      <c r="O108" s="82"/>
      <c r="P108" s="82"/>
      <c r="Q108" s="82"/>
      <c r="R108" s="82"/>
      <c r="S108" s="41" t="s">
        <v>62</v>
      </c>
    </row>
    <row r="109" spans="1:19" ht="12.75">
      <c r="A109" s="199" t="s">
        <v>135</v>
      </c>
      <c r="B109" s="193" t="s">
        <v>76</v>
      </c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</row>
    <row r="110" spans="1:19" ht="42" customHeight="1">
      <c r="A110" s="200"/>
      <c r="B110" s="156" t="s">
        <v>167</v>
      </c>
      <c r="C110" s="156"/>
      <c r="D110" s="156"/>
      <c r="E110" s="156" t="s">
        <v>63</v>
      </c>
      <c r="F110" s="156" t="s">
        <v>63</v>
      </c>
      <c r="G110" s="194" t="s">
        <v>64</v>
      </c>
      <c r="H110" s="44" t="s">
        <v>69</v>
      </c>
      <c r="I110" s="45" t="s">
        <v>70</v>
      </c>
      <c r="J110" s="46" t="s">
        <v>65</v>
      </c>
      <c r="K110" s="56">
        <v>265000</v>
      </c>
      <c r="L110" s="46" t="s">
        <v>84</v>
      </c>
      <c r="M110" s="56">
        <v>380530</v>
      </c>
      <c r="S110" s="56">
        <f>K110+M110</f>
        <v>645530</v>
      </c>
    </row>
    <row r="111" spans="1:19" ht="124.5" customHeight="1">
      <c r="A111" s="200"/>
      <c r="B111" s="154"/>
      <c r="C111" s="154"/>
      <c r="D111" s="154"/>
      <c r="E111" s="154"/>
      <c r="F111" s="154"/>
      <c r="G111" s="195"/>
      <c r="H111" s="44" t="s">
        <v>66</v>
      </c>
      <c r="I111" s="45" t="s">
        <v>67</v>
      </c>
      <c r="J111" s="46" t="s">
        <v>65</v>
      </c>
      <c r="K111" s="56">
        <v>14000</v>
      </c>
      <c r="L111" s="46" t="s">
        <v>84</v>
      </c>
      <c r="M111" s="56">
        <v>0</v>
      </c>
      <c r="S111" s="56">
        <f>K111+M111</f>
        <v>14000</v>
      </c>
    </row>
    <row r="112" spans="1:19" ht="22.5">
      <c r="A112" s="201"/>
      <c r="B112" s="157"/>
      <c r="C112" s="157"/>
      <c r="D112" s="157"/>
      <c r="E112" s="157"/>
      <c r="F112" s="157"/>
      <c r="G112" s="227"/>
      <c r="I112" s="120"/>
      <c r="J112" s="47" t="s">
        <v>72</v>
      </c>
      <c r="K112" s="56">
        <f>SUM(K110:K111)</f>
        <v>279000</v>
      </c>
      <c r="L112" s="48" t="s">
        <v>73</v>
      </c>
      <c r="M112" s="56">
        <f>SUM(M110:M111)</f>
        <v>380530</v>
      </c>
      <c r="N112" s="60"/>
      <c r="O112" s="60"/>
      <c r="P112" s="60"/>
      <c r="Q112" s="60"/>
      <c r="R112" s="60"/>
      <c r="S112" s="56">
        <f>K112+M112</f>
        <v>659530</v>
      </c>
    </row>
    <row r="113" spans="1:19" ht="12.75">
      <c r="A113" s="225" t="s">
        <v>81</v>
      </c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7"/>
      <c r="N113" s="49"/>
      <c r="O113" s="49"/>
      <c r="P113" s="49"/>
      <c r="Q113" s="49"/>
      <c r="R113" s="49"/>
      <c r="S113" s="64">
        <f>SUM(S112)</f>
        <v>659530</v>
      </c>
    </row>
    <row r="114" spans="1:19" ht="12.75">
      <c r="A114" s="199" t="s">
        <v>135</v>
      </c>
      <c r="B114" s="193" t="s">
        <v>77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</row>
    <row r="115" spans="1:19" ht="59.25" customHeight="1">
      <c r="A115" s="200"/>
      <c r="B115" s="156" t="s">
        <v>137</v>
      </c>
      <c r="C115" s="156" t="s">
        <v>63</v>
      </c>
      <c r="D115" s="156" t="s">
        <v>63</v>
      </c>
      <c r="E115" s="156" t="s">
        <v>63</v>
      </c>
      <c r="F115" s="156" t="s">
        <v>63</v>
      </c>
      <c r="G115" s="194" t="s">
        <v>64</v>
      </c>
      <c r="H115" s="44" t="s">
        <v>69</v>
      </c>
      <c r="I115" s="45" t="s">
        <v>70</v>
      </c>
      <c r="J115" s="46" t="s">
        <v>65</v>
      </c>
      <c r="K115" s="56">
        <v>1020000</v>
      </c>
      <c r="L115" s="46" t="s">
        <v>84</v>
      </c>
      <c r="M115" s="56">
        <v>949610</v>
      </c>
      <c r="S115" s="56">
        <f>K115+M115</f>
        <v>1969610</v>
      </c>
    </row>
    <row r="116" spans="1:19" ht="19.5" customHeight="1">
      <c r="A116" s="200"/>
      <c r="B116" s="154"/>
      <c r="C116" s="154"/>
      <c r="D116" s="154"/>
      <c r="E116" s="154"/>
      <c r="F116" s="154"/>
      <c r="G116" s="195"/>
      <c r="H116" s="44" t="s">
        <v>66</v>
      </c>
      <c r="I116" s="45" t="s">
        <v>67</v>
      </c>
      <c r="J116" s="46" t="s">
        <v>65</v>
      </c>
      <c r="K116" s="56">
        <v>37000</v>
      </c>
      <c r="L116" s="46" t="s">
        <v>84</v>
      </c>
      <c r="M116" s="56">
        <v>0</v>
      </c>
      <c r="S116" s="56">
        <f>K116+M116</f>
        <v>37000</v>
      </c>
    </row>
    <row r="117" spans="1:19" ht="22.5">
      <c r="A117" s="201"/>
      <c r="B117" s="157"/>
      <c r="C117" s="157"/>
      <c r="D117" s="157"/>
      <c r="E117" s="157"/>
      <c r="F117" s="157"/>
      <c r="G117" s="227"/>
      <c r="I117" s="120"/>
      <c r="J117" s="47" t="s">
        <v>72</v>
      </c>
      <c r="K117" s="56">
        <f>SUM(K115:K116)</f>
        <v>1057000</v>
      </c>
      <c r="L117" s="48" t="s">
        <v>73</v>
      </c>
      <c r="M117" s="56">
        <f>SUM(M115:M116)</f>
        <v>949610</v>
      </c>
      <c r="N117" s="60"/>
      <c r="O117" s="60"/>
      <c r="P117" s="60"/>
      <c r="Q117" s="60"/>
      <c r="R117" s="60"/>
      <c r="S117" s="56">
        <f>K117+M117</f>
        <v>2006610</v>
      </c>
    </row>
    <row r="118" spans="1:19" ht="12.75">
      <c r="A118" s="225" t="s">
        <v>81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7"/>
      <c r="N118" s="49"/>
      <c r="O118" s="49"/>
      <c r="P118" s="49"/>
      <c r="Q118" s="49"/>
      <c r="R118" s="49"/>
      <c r="S118" s="69">
        <f>SUM(S117)</f>
        <v>2006610</v>
      </c>
    </row>
    <row r="119" spans="1:19" ht="12.75">
      <c r="A119" s="199" t="s">
        <v>135</v>
      </c>
      <c r="B119" s="193" t="s">
        <v>78</v>
      </c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</row>
    <row r="120" spans="1:19" ht="22.5" customHeight="1">
      <c r="A120" s="200"/>
      <c r="B120" s="156" t="s">
        <v>140</v>
      </c>
      <c r="C120" s="156" t="s">
        <v>63</v>
      </c>
      <c r="D120" s="156" t="s">
        <v>63</v>
      </c>
      <c r="E120" s="156"/>
      <c r="F120" s="156"/>
      <c r="G120" s="194" t="s">
        <v>64</v>
      </c>
      <c r="H120" s="44" t="s">
        <v>66</v>
      </c>
      <c r="I120" s="45" t="s">
        <v>67</v>
      </c>
      <c r="J120" s="46" t="s">
        <v>65</v>
      </c>
      <c r="K120" s="56">
        <v>27000</v>
      </c>
      <c r="L120" s="46" t="s">
        <v>84</v>
      </c>
      <c r="M120" s="56">
        <v>0</v>
      </c>
      <c r="S120" s="56">
        <f>K120+M120</f>
        <v>27000</v>
      </c>
    </row>
    <row r="121" spans="1:19" ht="22.5">
      <c r="A121" s="201"/>
      <c r="B121" s="157"/>
      <c r="C121" s="154"/>
      <c r="D121" s="154"/>
      <c r="E121" s="154"/>
      <c r="F121" s="154"/>
      <c r="G121" s="195"/>
      <c r="I121" s="120"/>
      <c r="J121" s="47" t="s">
        <v>72</v>
      </c>
      <c r="K121" s="56">
        <f>SUM(K120)</f>
        <v>27000</v>
      </c>
      <c r="L121" s="48" t="s">
        <v>73</v>
      </c>
      <c r="M121" s="56">
        <f>SUM(M120)</f>
        <v>0</v>
      </c>
      <c r="N121" s="60"/>
      <c r="O121" s="60"/>
      <c r="P121" s="60"/>
      <c r="Q121" s="60"/>
      <c r="R121" s="60"/>
      <c r="S121" s="56">
        <f>K121+M121</f>
        <v>27000</v>
      </c>
    </row>
    <row r="122" spans="1:19" ht="12.75" customHeight="1">
      <c r="A122" s="225" t="s">
        <v>81</v>
      </c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7"/>
      <c r="N122" s="49"/>
      <c r="O122" s="49"/>
      <c r="P122" s="49"/>
      <c r="Q122" s="49"/>
      <c r="R122" s="49"/>
      <c r="S122" s="69">
        <f>SUM(S121)</f>
        <v>27000</v>
      </c>
    </row>
    <row r="124" spans="1:19" ht="12.75">
      <c r="A124" s="171" t="s">
        <v>48</v>
      </c>
      <c r="B124" s="145" t="s">
        <v>49</v>
      </c>
      <c r="C124" s="205" t="s">
        <v>50</v>
      </c>
      <c r="D124" s="206"/>
      <c r="E124" s="206"/>
      <c r="F124" s="207"/>
      <c r="G124" s="208" t="s">
        <v>51</v>
      </c>
      <c r="H124" s="211" t="s">
        <v>52</v>
      </c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3"/>
    </row>
    <row r="125" spans="1:19" ht="33.75">
      <c r="A125" s="171"/>
      <c r="B125" s="164"/>
      <c r="C125" s="25" t="s">
        <v>53</v>
      </c>
      <c r="D125" s="25" t="s">
        <v>54</v>
      </c>
      <c r="E125" s="25" t="s">
        <v>55</v>
      </c>
      <c r="F125" s="25" t="s">
        <v>56</v>
      </c>
      <c r="G125" s="209"/>
      <c r="H125" s="41" t="s">
        <v>57</v>
      </c>
      <c r="I125" s="41" t="s">
        <v>58</v>
      </c>
      <c r="J125" s="42" t="s">
        <v>59</v>
      </c>
      <c r="K125" s="41" t="s">
        <v>60</v>
      </c>
      <c r="L125" s="42" t="s">
        <v>61</v>
      </c>
      <c r="M125" s="41" t="s">
        <v>60</v>
      </c>
      <c r="N125" s="82"/>
      <c r="O125" s="82"/>
      <c r="P125" s="82"/>
      <c r="Q125" s="82"/>
      <c r="R125" s="82"/>
      <c r="S125" s="41" t="s">
        <v>62</v>
      </c>
    </row>
    <row r="126" spans="1:19" ht="12.75">
      <c r="A126" s="199" t="s">
        <v>153</v>
      </c>
      <c r="B126" s="193" t="s">
        <v>77</v>
      </c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</row>
    <row r="127" spans="1:19" ht="22.5" customHeight="1">
      <c r="A127" s="200"/>
      <c r="B127" s="156" t="s">
        <v>152</v>
      </c>
      <c r="C127" s="156"/>
      <c r="D127" s="156"/>
      <c r="E127" s="156" t="s">
        <v>63</v>
      </c>
      <c r="F127" s="156" t="s">
        <v>63</v>
      </c>
      <c r="G127" s="194" t="s">
        <v>64</v>
      </c>
      <c r="H127" s="65" t="s">
        <v>89</v>
      </c>
      <c r="I127" s="45" t="s">
        <v>88</v>
      </c>
      <c r="J127" s="46" t="s">
        <v>65</v>
      </c>
      <c r="K127" s="56">
        <v>0</v>
      </c>
      <c r="L127" s="46" t="s">
        <v>84</v>
      </c>
      <c r="M127" s="56">
        <v>34000</v>
      </c>
      <c r="S127" s="56">
        <f>K127+M127</f>
        <v>34000</v>
      </c>
    </row>
    <row r="128" spans="1:19" ht="24.75" customHeight="1">
      <c r="A128" s="200"/>
      <c r="B128" s="154"/>
      <c r="C128" s="154"/>
      <c r="D128" s="154"/>
      <c r="E128" s="154"/>
      <c r="F128" s="154"/>
      <c r="G128" s="195"/>
      <c r="H128" s="44" t="s">
        <v>66</v>
      </c>
      <c r="I128" s="45" t="s">
        <v>67</v>
      </c>
      <c r="J128" s="46" t="s">
        <v>65</v>
      </c>
      <c r="K128" s="56">
        <v>5000</v>
      </c>
      <c r="L128" s="46" t="s">
        <v>84</v>
      </c>
      <c r="M128" s="56">
        <v>0</v>
      </c>
      <c r="S128" s="56">
        <f>K128+M128</f>
        <v>5000</v>
      </c>
    </row>
    <row r="129" spans="1:19" ht="45" customHeight="1">
      <c r="A129" s="201"/>
      <c r="B129" s="157"/>
      <c r="C129" s="157"/>
      <c r="D129" s="157"/>
      <c r="E129" s="157"/>
      <c r="F129" s="157"/>
      <c r="G129" s="227"/>
      <c r="I129" s="120"/>
      <c r="J129" s="47" t="s">
        <v>72</v>
      </c>
      <c r="K129" s="56">
        <f>SUM(K127:K128)</f>
        <v>5000</v>
      </c>
      <c r="L129" s="47" t="s">
        <v>73</v>
      </c>
      <c r="M129" s="56">
        <f>SUM(M127:M128)</f>
        <v>34000</v>
      </c>
      <c r="N129" s="60"/>
      <c r="O129" s="60"/>
      <c r="P129" s="60"/>
      <c r="Q129" s="60"/>
      <c r="R129" s="60"/>
      <c r="S129" s="56">
        <f>K129+M129</f>
        <v>39000</v>
      </c>
    </row>
    <row r="130" spans="1:19" ht="12.75">
      <c r="A130" s="225" t="s">
        <v>82</v>
      </c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7"/>
      <c r="N130" s="49"/>
      <c r="O130" s="49"/>
      <c r="P130" s="49"/>
      <c r="Q130" s="49"/>
      <c r="R130" s="49"/>
      <c r="S130" s="64">
        <f>SUM(S129)</f>
        <v>39000</v>
      </c>
    </row>
    <row r="131" spans="1:19" ht="12.75" customHeight="1">
      <c r="A131" s="199" t="s">
        <v>153</v>
      </c>
      <c r="B131" s="193" t="s">
        <v>78</v>
      </c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</row>
    <row r="132" spans="1:19" ht="22.5">
      <c r="A132" s="200"/>
      <c r="B132" s="215" t="s">
        <v>152</v>
      </c>
      <c r="C132" s="156"/>
      <c r="D132" s="156"/>
      <c r="E132" s="156" t="s">
        <v>63</v>
      </c>
      <c r="F132" s="156" t="s">
        <v>63</v>
      </c>
      <c r="G132" s="194" t="s">
        <v>64</v>
      </c>
      <c r="H132" s="65" t="s">
        <v>89</v>
      </c>
      <c r="I132" s="45" t="s">
        <v>88</v>
      </c>
      <c r="J132" s="46" t="s">
        <v>65</v>
      </c>
      <c r="K132" s="56">
        <v>0</v>
      </c>
      <c r="L132" s="46" t="s">
        <v>84</v>
      </c>
      <c r="M132" s="56">
        <v>34000</v>
      </c>
      <c r="S132" s="56">
        <f>K132+M132</f>
        <v>34000</v>
      </c>
    </row>
    <row r="133" spans="1:19" ht="12.75">
      <c r="A133" s="200"/>
      <c r="B133" s="216"/>
      <c r="C133" s="154"/>
      <c r="D133" s="154"/>
      <c r="E133" s="154"/>
      <c r="F133" s="154"/>
      <c r="G133" s="195"/>
      <c r="H133" s="44" t="s">
        <v>66</v>
      </c>
      <c r="I133" s="45" t="s">
        <v>67</v>
      </c>
      <c r="J133" s="46" t="s">
        <v>65</v>
      </c>
      <c r="K133" s="56">
        <v>5000</v>
      </c>
      <c r="L133" s="46" t="s">
        <v>84</v>
      </c>
      <c r="M133" s="56">
        <v>0</v>
      </c>
      <c r="S133" s="56">
        <f>K133+M133</f>
        <v>5000</v>
      </c>
    </row>
    <row r="134" spans="1:19" ht="22.5">
      <c r="A134" s="200"/>
      <c r="B134" s="215" t="s">
        <v>143</v>
      </c>
      <c r="C134" s="156"/>
      <c r="D134" s="156"/>
      <c r="E134" s="156" t="s">
        <v>63</v>
      </c>
      <c r="F134" s="156" t="s">
        <v>63</v>
      </c>
      <c r="G134" s="194" t="s">
        <v>64</v>
      </c>
      <c r="H134" s="65" t="s">
        <v>89</v>
      </c>
      <c r="I134" s="45" t="s">
        <v>88</v>
      </c>
      <c r="J134" s="46" t="s">
        <v>65</v>
      </c>
      <c r="K134" s="56">
        <v>23800</v>
      </c>
      <c r="L134" s="46" t="s">
        <v>84</v>
      </c>
      <c r="M134" s="56">
        <v>53590</v>
      </c>
      <c r="S134" s="56">
        <f>K134+M134</f>
        <v>77390</v>
      </c>
    </row>
    <row r="135" spans="1:19" ht="12.75">
      <c r="A135" s="200"/>
      <c r="B135" s="216"/>
      <c r="C135" s="154"/>
      <c r="D135" s="154"/>
      <c r="E135" s="154"/>
      <c r="F135" s="154"/>
      <c r="G135" s="195"/>
      <c r="H135" s="44" t="s">
        <v>66</v>
      </c>
      <c r="I135" s="45" t="s">
        <v>67</v>
      </c>
      <c r="J135" s="46" t="s">
        <v>65</v>
      </c>
      <c r="K135" s="56">
        <v>3000</v>
      </c>
      <c r="L135" s="46" t="s">
        <v>84</v>
      </c>
      <c r="M135" s="56">
        <v>0</v>
      </c>
      <c r="S135" s="56">
        <f>K135+M135</f>
        <v>3000</v>
      </c>
    </row>
    <row r="136" spans="1:19" ht="22.5">
      <c r="A136" s="201"/>
      <c r="B136" s="228"/>
      <c r="C136" s="157"/>
      <c r="D136" s="157"/>
      <c r="E136" s="157"/>
      <c r="F136" s="157"/>
      <c r="G136" s="227"/>
      <c r="I136" s="120"/>
      <c r="J136" s="47" t="s">
        <v>72</v>
      </c>
      <c r="K136" s="56">
        <f>SUM(K132:K135)</f>
        <v>31800</v>
      </c>
      <c r="L136" s="48" t="s">
        <v>73</v>
      </c>
      <c r="M136" s="56">
        <f>SUM(M132:M135)</f>
        <v>87590</v>
      </c>
      <c r="N136" s="60"/>
      <c r="O136" s="60"/>
      <c r="P136" s="60"/>
      <c r="Q136" s="60"/>
      <c r="R136" s="60"/>
      <c r="S136" s="56">
        <f>K136+M136</f>
        <v>119390</v>
      </c>
    </row>
    <row r="137" spans="1:19" ht="12.75">
      <c r="A137" s="225"/>
      <c r="B137" s="196" t="s">
        <v>82</v>
      </c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7"/>
      <c r="N137" s="99"/>
      <c r="S137" s="64">
        <f>SUM(S136)</f>
        <v>119390</v>
      </c>
    </row>
    <row r="140" spans="1:19" ht="12.75">
      <c r="A140" s="171" t="s">
        <v>48</v>
      </c>
      <c r="B140" s="145" t="s">
        <v>49</v>
      </c>
      <c r="C140" s="205" t="s">
        <v>50</v>
      </c>
      <c r="D140" s="206"/>
      <c r="E140" s="206"/>
      <c r="F140" s="207"/>
      <c r="G140" s="208" t="s">
        <v>51</v>
      </c>
      <c r="H140" s="211" t="s">
        <v>52</v>
      </c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3"/>
    </row>
    <row r="141" spans="1:19" ht="33.75">
      <c r="A141" s="171"/>
      <c r="B141" s="164"/>
      <c r="C141" s="25" t="s">
        <v>53</v>
      </c>
      <c r="D141" s="25" t="s">
        <v>54</v>
      </c>
      <c r="E141" s="25" t="s">
        <v>55</v>
      </c>
      <c r="F141" s="25" t="s">
        <v>56</v>
      </c>
      <c r="G141" s="209"/>
      <c r="H141" s="41" t="s">
        <v>57</v>
      </c>
      <c r="I141" s="41" t="s">
        <v>58</v>
      </c>
      <c r="J141" s="42" t="s">
        <v>59</v>
      </c>
      <c r="K141" s="41" t="s">
        <v>60</v>
      </c>
      <c r="L141" s="42" t="s">
        <v>61</v>
      </c>
      <c r="M141" s="41" t="s">
        <v>60</v>
      </c>
      <c r="N141" s="82"/>
      <c r="O141" s="82"/>
      <c r="P141" s="82"/>
      <c r="Q141" s="82"/>
      <c r="R141" s="82"/>
      <c r="S141" s="41" t="s">
        <v>62</v>
      </c>
    </row>
    <row r="142" spans="1:19" ht="12.75">
      <c r="A142" s="199" t="s">
        <v>136</v>
      </c>
      <c r="B142" s="193" t="s">
        <v>77</v>
      </c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</row>
    <row r="143" spans="1:19" ht="22.5">
      <c r="A143" s="200"/>
      <c r="B143" s="215" t="s">
        <v>38</v>
      </c>
      <c r="C143" s="156"/>
      <c r="D143" s="156"/>
      <c r="E143" s="156" t="s">
        <v>63</v>
      </c>
      <c r="F143" s="156" t="s">
        <v>63</v>
      </c>
      <c r="G143" s="194" t="s">
        <v>64</v>
      </c>
      <c r="H143" s="65" t="s">
        <v>89</v>
      </c>
      <c r="I143" s="45" t="s">
        <v>88</v>
      </c>
      <c r="J143" s="46" t="s">
        <v>65</v>
      </c>
      <c r="K143" s="56">
        <v>0</v>
      </c>
      <c r="L143" s="46" t="s">
        <v>84</v>
      </c>
      <c r="M143" s="56">
        <v>20000</v>
      </c>
      <c r="S143" s="56">
        <f>K143+M143</f>
        <v>20000</v>
      </c>
    </row>
    <row r="144" spans="1:19" ht="22.5">
      <c r="A144" s="201"/>
      <c r="B144" s="216"/>
      <c r="C144" s="154"/>
      <c r="D144" s="154"/>
      <c r="E144" s="154"/>
      <c r="F144" s="154"/>
      <c r="G144" s="195"/>
      <c r="I144" s="120"/>
      <c r="J144" s="47" t="s">
        <v>72</v>
      </c>
      <c r="K144" s="57">
        <f>SUM(K143:K143)</f>
        <v>0</v>
      </c>
      <c r="L144" s="48" t="s">
        <v>73</v>
      </c>
      <c r="M144" s="58">
        <f>SUM(M143:M143)</f>
        <v>20000</v>
      </c>
      <c r="N144" s="60"/>
      <c r="O144" s="60"/>
      <c r="P144" s="60"/>
      <c r="Q144" s="60"/>
      <c r="R144" s="60"/>
      <c r="S144" s="56">
        <f>K144+M144</f>
        <v>20000</v>
      </c>
    </row>
    <row r="145" spans="1:19" ht="12.75">
      <c r="A145" s="225" t="s">
        <v>83</v>
      </c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7"/>
      <c r="N145" s="49"/>
      <c r="O145" s="49"/>
      <c r="P145" s="49"/>
      <c r="Q145" s="49"/>
      <c r="R145" s="49"/>
      <c r="S145" s="64">
        <f>SUM(S143)</f>
        <v>20000</v>
      </c>
    </row>
    <row r="146" spans="1:19" ht="12.75">
      <c r="A146" s="200" t="s">
        <v>136</v>
      </c>
      <c r="B146" s="193" t="s">
        <v>78</v>
      </c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</row>
    <row r="147" spans="1:19" ht="22.5">
      <c r="A147" s="200"/>
      <c r="B147" s="215" t="s">
        <v>75</v>
      </c>
      <c r="C147" s="156"/>
      <c r="D147" s="156"/>
      <c r="E147" s="156" t="s">
        <v>63</v>
      </c>
      <c r="F147" s="156" t="s">
        <v>63</v>
      </c>
      <c r="G147" s="194" t="s">
        <v>64</v>
      </c>
      <c r="H147" s="65" t="s">
        <v>89</v>
      </c>
      <c r="I147" s="45" t="s">
        <v>88</v>
      </c>
      <c r="J147" s="46" t="s">
        <v>65</v>
      </c>
      <c r="K147" s="56">
        <v>0</v>
      </c>
      <c r="L147" s="46" t="s">
        <v>84</v>
      </c>
      <c r="M147" s="56">
        <v>20000</v>
      </c>
      <c r="S147" s="56">
        <f>M147+K147</f>
        <v>20000</v>
      </c>
    </row>
    <row r="148" spans="1:19" ht="22.5">
      <c r="A148" s="201"/>
      <c r="B148" s="216"/>
      <c r="C148" s="154"/>
      <c r="D148" s="154"/>
      <c r="E148" s="154"/>
      <c r="F148" s="154"/>
      <c r="G148" s="195"/>
      <c r="I148" s="120"/>
      <c r="J148" s="47" t="s">
        <v>72</v>
      </c>
      <c r="K148" s="57">
        <f>SUM(K147:K147)</f>
        <v>0</v>
      </c>
      <c r="L148" s="48" t="s">
        <v>73</v>
      </c>
      <c r="M148" s="58">
        <f>SUM(M147:M147)</f>
        <v>20000</v>
      </c>
      <c r="N148" s="60"/>
      <c r="O148" s="60"/>
      <c r="P148" s="60"/>
      <c r="Q148" s="60"/>
      <c r="R148" s="60"/>
      <c r="S148" s="56">
        <f>K148+M148</f>
        <v>20000</v>
      </c>
    </row>
    <row r="149" spans="1:19" ht="12.75">
      <c r="A149" s="225" t="s">
        <v>83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7"/>
      <c r="N149" s="49"/>
      <c r="O149" s="49"/>
      <c r="P149" s="49"/>
      <c r="Q149" s="49"/>
      <c r="R149" s="49"/>
      <c r="S149" s="59">
        <f>SUM(S148)</f>
        <v>20000</v>
      </c>
    </row>
  </sheetData>
  <mergeCells count="245">
    <mergeCell ref="D120:D121"/>
    <mergeCell ref="E120:E121"/>
    <mergeCell ref="F120:F121"/>
    <mergeCell ref="G120:G121"/>
    <mergeCell ref="B119:S119"/>
    <mergeCell ref="B114:S114"/>
    <mergeCell ref="D115:D117"/>
    <mergeCell ref="E115:E117"/>
    <mergeCell ref="F115:F117"/>
    <mergeCell ref="G115:G117"/>
    <mergeCell ref="A21:M21"/>
    <mergeCell ref="B22:S22"/>
    <mergeCell ref="B31:B32"/>
    <mergeCell ref="C31:F31"/>
    <mergeCell ref="G31:G32"/>
    <mergeCell ref="D25:D28"/>
    <mergeCell ref="E25:E28"/>
    <mergeCell ref="F25:F28"/>
    <mergeCell ref="G25:G28"/>
    <mergeCell ref="B30:S30"/>
    <mergeCell ref="A40:A41"/>
    <mergeCell ref="H23:S23"/>
    <mergeCell ref="B25:B28"/>
    <mergeCell ref="C25:C28"/>
    <mergeCell ref="A53:K53"/>
    <mergeCell ref="L53:M53"/>
    <mergeCell ref="A42:A46"/>
    <mergeCell ref="A48:A52"/>
    <mergeCell ref="B43:B46"/>
    <mergeCell ref="B49:B52"/>
    <mergeCell ref="E49:E51"/>
    <mergeCell ref="F49:F51"/>
    <mergeCell ref="C49:C51"/>
    <mergeCell ref="A13:A14"/>
    <mergeCell ref="B13:B14"/>
    <mergeCell ref="C13:F13"/>
    <mergeCell ref="D49:D51"/>
    <mergeCell ref="B40:B41"/>
    <mergeCell ref="A22:A28"/>
    <mergeCell ref="A30:A36"/>
    <mergeCell ref="A29:M29"/>
    <mergeCell ref="G13:G14"/>
    <mergeCell ref="H40:S40"/>
    <mergeCell ref="B90:S90"/>
    <mergeCell ref="B83:B84"/>
    <mergeCell ref="C83:C84"/>
    <mergeCell ref="D83:D84"/>
    <mergeCell ref="E83:E84"/>
    <mergeCell ref="A89:M89"/>
    <mergeCell ref="B87:B88"/>
    <mergeCell ref="C87:C88"/>
    <mergeCell ref="D87:D88"/>
    <mergeCell ref="A82:A88"/>
    <mergeCell ref="C91:C92"/>
    <mergeCell ref="G100:G101"/>
    <mergeCell ref="C100:C101"/>
    <mergeCell ref="D100:D101"/>
    <mergeCell ref="E100:E101"/>
    <mergeCell ref="F100:F101"/>
    <mergeCell ref="D91:D92"/>
    <mergeCell ref="E91:E92"/>
    <mergeCell ref="G64:G66"/>
    <mergeCell ref="G69:G71"/>
    <mergeCell ref="B68:S68"/>
    <mergeCell ref="B82:S82"/>
    <mergeCell ref="G74:G76"/>
    <mergeCell ref="A90:A97"/>
    <mergeCell ref="F83:F84"/>
    <mergeCell ref="G83:G84"/>
    <mergeCell ref="F85:F86"/>
    <mergeCell ref="B91:B92"/>
    <mergeCell ref="G93:G94"/>
    <mergeCell ref="C93:C94"/>
    <mergeCell ref="D93:D94"/>
    <mergeCell ref="E93:E94"/>
    <mergeCell ref="B93:B94"/>
    <mergeCell ref="G85:G86"/>
    <mergeCell ref="E85:E86"/>
    <mergeCell ref="D85:D86"/>
    <mergeCell ref="B107:B108"/>
    <mergeCell ref="E87:E88"/>
    <mergeCell ref="F87:F88"/>
    <mergeCell ref="G87:G88"/>
    <mergeCell ref="F91:F92"/>
    <mergeCell ref="F93:F94"/>
    <mergeCell ref="G91:G92"/>
    <mergeCell ref="A142:A144"/>
    <mergeCell ref="B142:S142"/>
    <mergeCell ref="A99:A103"/>
    <mergeCell ref="A107:A108"/>
    <mergeCell ref="A104:M104"/>
    <mergeCell ref="B99:S99"/>
    <mergeCell ref="B120:B121"/>
    <mergeCell ref="C110:C112"/>
    <mergeCell ref="C115:C117"/>
    <mergeCell ref="C120:C121"/>
    <mergeCell ref="G143:G144"/>
    <mergeCell ref="B143:B144"/>
    <mergeCell ref="C143:C144"/>
    <mergeCell ref="D143:D144"/>
    <mergeCell ref="A149:M149"/>
    <mergeCell ref="E143:E144"/>
    <mergeCell ref="B134:B136"/>
    <mergeCell ref="C134:C136"/>
    <mergeCell ref="D134:D136"/>
    <mergeCell ref="E134:E136"/>
    <mergeCell ref="F134:F136"/>
    <mergeCell ref="G134:G136"/>
    <mergeCell ref="A145:M145"/>
    <mergeCell ref="F143:F144"/>
    <mergeCell ref="A131:A136"/>
    <mergeCell ref="B131:S131"/>
    <mergeCell ref="D132:D133"/>
    <mergeCell ref="E132:E133"/>
    <mergeCell ref="B132:B133"/>
    <mergeCell ref="C132:C133"/>
    <mergeCell ref="F132:F133"/>
    <mergeCell ref="G132:G133"/>
    <mergeCell ref="B126:S126"/>
    <mergeCell ref="G107:G108"/>
    <mergeCell ref="B100:B101"/>
    <mergeCell ref="C107:F107"/>
    <mergeCell ref="H107:S107"/>
    <mergeCell ref="B109:S109"/>
    <mergeCell ref="B110:B112"/>
    <mergeCell ref="B115:B117"/>
    <mergeCell ref="D110:D112"/>
    <mergeCell ref="E110:E112"/>
    <mergeCell ref="G127:G129"/>
    <mergeCell ref="B127:B129"/>
    <mergeCell ref="C127:C129"/>
    <mergeCell ref="D127:D129"/>
    <mergeCell ref="E127:E129"/>
    <mergeCell ref="F127:F129"/>
    <mergeCell ref="G61:G62"/>
    <mergeCell ref="B124:B125"/>
    <mergeCell ref="C124:F124"/>
    <mergeCell ref="G124:G125"/>
    <mergeCell ref="F110:F112"/>
    <mergeCell ref="G110:G112"/>
    <mergeCell ref="A113:M113"/>
    <mergeCell ref="A114:A117"/>
    <mergeCell ref="B85:B86"/>
    <mergeCell ref="A98:M98"/>
    <mergeCell ref="C64:C66"/>
    <mergeCell ref="D64:D66"/>
    <mergeCell ref="A61:A62"/>
    <mergeCell ref="B61:B62"/>
    <mergeCell ref="C61:F61"/>
    <mergeCell ref="E64:E66"/>
    <mergeCell ref="F64:F66"/>
    <mergeCell ref="H61:S61"/>
    <mergeCell ref="A67:M67"/>
    <mergeCell ref="A63:A66"/>
    <mergeCell ref="A68:A71"/>
    <mergeCell ref="C69:C71"/>
    <mergeCell ref="D69:D71"/>
    <mergeCell ref="E69:E71"/>
    <mergeCell ref="F69:F71"/>
    <mergeCell ref="B63:S63"/>
    <mergeCell ref="B64:B66"/>
    <mergeCell ref="A122:M122"/>
    <mergeCell ref="A130:M130"/>
    <mergeCell ref="A80:A81"/>
    <mergeCell ref="B80:B81"/>
    <mergeCell ref="C80:F80"/>
    <mergeCell ref="G80:G81"/>
    <mergeCell ref="H80:S80"/>
    <mergeCell ref="H124:S124"/>
    <mergeCell ref="A109:A112"/>
    <mergeCell ref="C85:C86"/>
    <mergeCell ref="F147:F148"/>
    <mergeCell ref="G147:G148"/>
    <mergeCell ref="A146:A148"/>
    <mergeCell ref="B147:B148"/>
    <mergeCell ref="C147:C148"/>
    <mergeCell ref="D147:D148"/>
    <mergeCell ref="E147:E148"/>
    <mergeCell ref="B146:S146"/>
    <mergeCell ref="H140:S140"/>
    <mergeCell ref="A137:M137"/>
    <mergeCell ref="A118:M118"/>
    <mergeCell ref="A140:A141"/>
    <mergeCell ref="B140:B141"/>
    <mergeCell ref="C140:F140"/>
    <mergeCell ref="G140:G141"/>
    <mergeCell ref="A119:A121"/>
    <mergeCell ref="A126:A129"/>
    <mergeCell ref="A124:A125"/>
    <mergeCell ref="D74:D76"/>
    <mergeCell ref="A77:M77"/>
    <mergeCell ref="B74:B76"/>
    <mergeCell ref="C74:C76"/>
    <mergeCell ref="E74:E76"/>
    <mergeCell ref="F74:F76"/>
    <mergeCell ref="A73:A76"/>
    <mergeCell ref="B73:S73"/>
    <mergeCell ref="A72:M72"/>
    <mergeCell ref="A37:M37"/>
    <mergeCell ref="C33:C36"/>
    <mergeCell ref="D33:D36"/>
    <mergeCell ref="E33:E36"/>
    <mergeCell ref="F33:F36"/>
    <mergeCell ref="G33:G36"/>
    <mergeCell ref="B33:B36"/>
    <mergeCell ref="B69:B71"/>
    <mergeCell ref="B60:S60"/>
    <mergeCell ref="B4:S4"/>
    <mergeCell ref="B5:S5"/>
    <mergeCell ref="B6:S6"/>
    <mergeCell ref="B7:S9"/>
    <mergeCell ref="B12:S12"/>
    <mergeCell ref="H31:S31"/>
    <mergeCell ref="B23:B24"/>
    <mergeCell ref="C23:F23"/>
    <mergeCell ref="G23:G24"/>
    <mergeCell ref="H13:S13"/>
    <mergeCell ref="E16:E20"/>
    <mergeCell ref="F16:F20"/>
    <mergeCell ref="G16:G20"/>
    <mergeCell ref="B16:B20"/>
    <mergeCell ref="A15:A20"/>
    <mergeCell ref="G43:G45"/>
    <mergeCell ref="C43:C45"/>
    <mergeCell ref="D43:D45"/>
    <mergeCell ref="B42:S42"/>
    <mergeCell ref="C16:C20"/>
    <mergeCell ref="D16:D20"/>
    <mergeCell ref="B15:S15"/>
    <mergeCell ref="C40:F40"/>
    <mergeCell ref="G40:G41"/>
    <mergeCell ref="A59:M59"/>
    <mergeCell ref="E55:E57"/>
    <mergeCell ref="F55:F57"/>
    <mergeCell ref="G55:G57"/>
    <mergeCell ref="C55:C57"/>
    <mergeCell ref="D55:D57"/>
    <mergeCell ref="A54:A58"/>
    <mergeCell ref="B55:B58"/>
    <mergeCell ref="B54:S54"/>
    <mergeCell ref="E43:E45"/>
    <mergeCell ref="F43:F45"/>
    <mergeCell ref="B48:S48"/>
    <mergeCell ref="G49:G51"/>
    <mergeCell ref="C47:M47"/>
  </mergeCells>
  <printOptions/>
  <pageMargins left="0.68" right="0.52" top="0.37" bottom="0.45" header="0.28" footer="0.23"/>
  <pageSetup horizontalDpi="600" verticalDpi="600" orientation="landscape" scale="60" r:id="rId2"/>
  <headerFooter alignWithMargins="0">
    <oddHeader>&amp;RPLANO DE TRABALHO - &amp;D</oddHeader>
    <oddFooter>&amp;LPágina &amp;P de &amp;N; Arquivo: &amp;F</oddFooter>
  </headerFooter>
  <rowBreaks count="6" manualBreakCount="6">
    <brk id="38" max="255" man="1"/>
    <brk id="60" max="255" man="1"/>
    <brk id="78" max="255" man="1"/>
    <brk id="89" max="255" man="1"/>
    <brk id="105" max="255" man="1"/>
    <brk id="1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ERIKA.FRANCA</dc:creator>
  <cp:keywords/>
  <dc:description/>
  <cp:lastModifiedBy>Fernanda Freire</cp:lastModifiedBy>
  <cp:lastPrinted>2006-12-19T13:51:47Z</cp:lastPrinted>
  <dcterms:created xsi:type="dcterms:W3CDTF">2006-02-09T18:29:28Z</dcterms:created>
  <dcterms:modified xsi:type="dcterms:W3CDTF">2006-12-19T13:52:35Z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-88269393</vt:i4>
  </property>
  <property fmtid="{D5CDD505-2E9C-101B-9397-08002B2CF9AE}" pid="3" name="_EmailSubject">
    <vt:lpwstr>Prodoc</vt:lpwstr>
  </property>
  <property fmtid="{D5CDD505-2E9C-101B-9397-08002B2CF9AE}" pid="4" name="_AuthorEmail">
    <vt:lpwstr>erica.machado@undp.org.br</vt:lpwstr>
  </property>
  <property fmtid="{D5CDD505-2E9C-101B-9397-08002B2CF9AE}" pid="5" name="_AuthorEmailDisplayName">
    <vt:lpwstr>Erica Massimo Machado</vt:lpwstr>
  </property>
  <property fmtid="{D5CDD505-2E9C-101B-9397-08002B2CF9AE}" pid="6" name="_PreviousAdHocReviewCycleID">
    <vt:i4>1380755352</vt:i4>
  </property>
  <property fmtid="{D5CDD505-2E9C-101B-9397-08002B2CF9AE}" pid="7" name="_ReviewingToolsShownOnce">
    <vt:lpwstr/>
  </property>
  <property fmtid="{D5CDD505-2E9C-101B-9397-08002B2CF9AE}" pid="8" name="UN LanguagesTaxHTField0">
    <vt:lpwstr/>
  </property>
  <property fmtid="{D5CDD505-2E9C-101B-9397-08002B2CF9AE}" pid="9" name="UNDPFocusAreasTaxHTField0">
    <vt:lpwstr/>
  </property>
  <property fmtid="{D5CDD505-2E9C-101B-9397-08002B2CF9AE}" pid="10" name="o4086b1782a74105bb5269035bccc8e9">
    <vt:lpwstr/>
  </property>
  <property fmtid="{D5CDD505-2E9C-101B-9397-08002B2CF9AE}" pid="11" name="gc6531b704974d528487414686b72f6f">
    <vt:lpwstr>BRA|e2c97dad-db42-430a-a7f4-43d64b0b5200</vt:lpwstr>
  </property>
  <property fmtid="{D5CDD505-2E9C-101B-9397-08002B2CF9AE}" pid="12" name="Operating Unit0">
    <vt:lpwstr>1137;#BRA|e2c97dad-db42-430a-a7f4-43d64b0b5200</vt:lpwstr>
  </property>
  <property fmtid="{D5CDD505-2E9C-101B-9397-08002B2CF9AE}" pid="13" name="Unit">
    <vt:lpwstr/>
  </property>
  <property fmtid="{D5CDD505-2E9C-101B-9397-08002B2CF9AE}" pid="14" name="UnitTaxHTField0">
    <vt:lpwstr/>
  </property>
  <property fmtid="{D5CDD505-2E9C-101B-9397-08002B2CF9AE}" pid="15" name="idff2b682fce4d0680503cd9036a3260">
    <vt:lpwstr/>
  </property>
  <property fmtid="{D5CDD505-2E9C-101B-9397-08002B2CF9AE}" pid="16" name="UNDPDocumentCategoryTaxHTField0">
    <vt:lpwstr/>
  </property>
  <property fmtid="{D5CDD505-2E9C-101B-9397-08002B2CF9AE}" pid="17" name="UNDPFocusAreas">
    <vt:lpwstr/>
  </property>
  <property fmtid="{D5CDD505-2E9C-101B-9397-08002B2CF9AE}" pid="18" name="PDC Document Category">
    <vt:lpwstr>Project</vt:lpwstr>
  </property>
  <property fmtid="{D5CDD505-2E9C-101B-9397-08002B2CF9AE}" pid="19" name="TaxCatchAll">
    <vt:lpwstr>1137;#BRA|e2c97dad-db42-430a-a7f4-43d64b0b5200</vt:lpwstr>
  </property>
  <property fmtid="{D5CDD505-2E9C-101B-9397-08002B2CF9AE}" pid="20" name="Project Number">
    <vt:lpwstr>00048396</vt:lpwstr>
  </property>
  <property fmtid="{D5CDD505-2E9C-101B-9397-08002B2CF9AE}" pid="21" name="Atlas_x0020_Document_x0020_Type">
    <vt:lpwstr/>
  </property>
  <property fmtid="{D5CDD505-2E9C-101B-9397-08002B2CF9AE}" pid="22" name="Atlas_x0020_Document_x0020_Status">
    <vt:lpwstr/>
  </property>
  <property fmtid="{D5CDD505-2E9C-101B-9397-08002B2CF9AE}" pid="23" name="UN Languages">
    <vt:lpwstr/>
  </property>
  <property fmtid="{D5CDD505-2E9C-101B-9397-08002B2CF9AE}" pid="24" name="UNDPDocumentCategory">
    <vt:lpwstr/>
  </property>
  <property fmtid="{D5CDD505-2E9C-101B-9397-08002B2CF9AE}" pid="25" name="UndpProjectNo">
    <vt:lpwstr>00048396</vt:lpwstr>
  </property>
  <property fmtid="{D5CDD505-2E9C-101B-9397-08002B2CF9AE}" pid="26" name="_dlc_DocId">
    <vt:lpwstr>ATLASPDC-3-1784</vt:lpwstr>
  </property>
  <property fmtid="{D5CDD505-2E9C-101B-9397-08002B2CF9AE}" pid="27" name="_dlc_DocIdItemGuid">
    <vt:lpwstr>d505015b-92d6-464d-a411-a7e3c36c9c4a</vt:lpwstr>
  </property>
  <property fmtid="{D5CDD505-2E9C-101B-9397-08002B2CF9AE}" pid="28" name="_dlc_DocIdUrl">
    <vt:lpwstr>https://info.undp.org/docs/pdc/_layouts/DocIdRedir.aspx?ID=ATLASPDC-3-1784, ATLASPDC-3-1784</vt:lpwstr>
  </property>
  <property fmtid="{D5CDD505-2E9C-101B-9397-08002B2CF9AE}" pid="29" name="UNDPPOPPFunctionalArea">
    <vt:lpwstr/>
  </property>
  <property fmtid="{D5CDD505-2E9C-101B-9397-08002B2CF9AE}" pid="30" name="UNDPCountry">
    <vt:lpwstr/>
  </property>
  <property fmtid="{D5CDD505-2E9C-101B-9397-08002B2CF9AE}" pid="31" name="_Publisher">
    <vt:lpwstr/>
  </property>
  <property fmtid="{D5CDD505-2E9C-101B-9397-08002B2CF9AE}" pid="32" name="UndpDocStatus">
    <vt:lpwstr/>
  </property>
  <property fmtid="{D5CDD505-2E9C-101B-9397-08002B2CF9AE}" pid="33" name="UndpOUCode">
    <vt:lpwstr/>
  </property>
  <property fmtid="{D5CDD505-2E9C-101B-9397-08002B2CF9AE}" pid="34" name="UndpDocTypeMM">
    <vt:lpwstr/>
  </property>
  <property fmtid="{D5CDD505-2E9C-101B-9397-08002B2CF9AE}" pid="35" name="URL">
    <vt:lpwstr/>
  </property>
  <property fmtid="{D5CDD505-2E9C-101B-9397-08002B2CF9AE}" pid="36" name="b6db62fdefd74bd188b0c1cc54de5bcf">
    <vt:lpwstr/>
  </property>
  <property fmtid="{D5CDD505-2E9C-101B-9397-08002B2CF9AE}" pid="37" name="UndpDocID">
    <vt:lpwstr/>
  </property>
  <property fmtid="{D5CDD505-2E9C-101B-9397-08002B2CF9AE}" pid="38" name="Project Manager">
    <vt:lpwstr/>
  </property>
  <property fmtid="{D5CDD505-2E9C-101B-9397-08002B2CF9AE}" pid="39" name="UndpIsTemplate">
    <vt:lpwstr/>
  </property>
  <property fmtid="{D5CDD505-2E9C-101B-9397-08002B2CF9AE}" pid="40" name="Outcome1">
    <vt:lpwstr/>
  </property>
  <property fmtid="{D5CDD505-2E9C-101B-9397-08002B2CF9AE}" pid="41" name="UNDPSummary">
    <vt:lpwstr/>
  </property>
  <property fmtid="{D5CDD505-2E9C-101B-9397-08002B2CF9AE}" pid="42" name="UndpDocFormat">
    <vt:lpwstr/>
  </property>
  <property fmtid="{D5CDD505-2E9C-101B-9397-08002B2CF9AE}" pid="43" name="UndpDocTypeMMTaxHTField0">
    <vt:lpwstr/>
  </property>
  <property fmtid="{D5CDD505-2E9C-101B-9397-08002B2CF9AE}" pid="44" name="UNDPCountryTaxHTField0">
    <vt:lpwstr/>
  </property>
  <property fmtid="{D5CDD505-2E9C-101B-9397-08002B2CF9AE}" pid="45" name="DocumentSetDescription">
    <vt:lpwstr/>
  </property>
  <property fmtid="{D5CDD505-2E9C-101B-9397-08002B2CF9AE}" pid="46" name="UndpUnitMM">
    <vt:lpwstr/>
  </property>
  <property fmtid="{D5CDD505-2E9C-101B-9397-08002B2CF9AE}" pid="47" name="UndpClassificationLevel">
    <vt:lpwstr/>
  </property>
  <property fmtid="{D5CDD505-2E9C-101B-9397-08002B2CF9AE}" pid="48" name="c4e2ab2cc9354bbf9064eeb465a566ea">
    <vt:lpwstr/>
  </property>
  <property fmtid="{D5CDD505-2E9C-101B-9397-08002B2CF9AE}" pid="49" name="eRegFilingCodeMM">
    <vt:lpwstr/>
  </property>
  <property fmtid="{D5CDD505-2E9C-101B-9397-08002B2CF9AE}" pid="50" name="display_urn:schemas-microsoft-com:office:office#Editor">
    <vt:lpwstr>svcSP_AdminPI_UNDP</vt:lpwstr>
  </property>
  <property fmtid="{D5CDD505-2E9C-101B-9397-08002B2CF9AE}" pid="51" name="display_urn:schemas-microsoft-com:office:office#Author">
    <vt:lpwstr>Sai Charan</vt:lpwstr>
  </property>
</Properties>
</file>